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d.docs.live.net/dc5a0b569333a2b9/Documents/New project 2026/heshmati-solutions/assets/Templates/XLTX files/"/>
    </mc:Choice>
  </mc:AlternateContent>
  <xr:revisionPtr revIDLastSave="0" documentId="8_{53A861D7-0574-4F0C-BF52-18934D7CBC7F}" xr6:coauthVersionLast="47" xr6:coauthVersionMax="47" xr10:uidLastSave="{00000000-0000-0000-0000-000000000000}"/>
  <bookViews>
    <workbookView xWindow="-120" yWindow="-120" windowWidth="24240" windowHeight="13020" activeTab="6" xr2:uid="{63CF62D1-3E8F-419B-9EAB-DCFF6AD82B43}"/>
  </bookViews>
  <sheets>
    <sheet name="Dashboard" sheetId="6" r:id="rId1"/>
    <sheet name="Products" sheetId="2" r:id="rId2"/>
    <sheet name="Transactions" sheetId="3" r:id="rId3"/>
    <sheet name="Inventory" sheetId="4" r:id="rId4"/>
    <sheet name="Reorder Report" sheetId="5" r:id="rId5"/>
    <sheet name="Settings" sheetId="7" state="veryHidden" r:id="rId6"/>
    <sheet name="Instructions" sheetId="8" r:id="rId7"/>
    <sheet name=" PivotData" sheetId="9" state="veryHidden" r:id="rId8"/>
    <sheet name="PivotData" sheetId="10" state="veryHidden" r:id="rId9"/>
  </sheets>
  <definedNames>
    <definedName name="lstCategories">Settings!$B$6:$B$10</definedName>
    <definedName name="lstLocations">Settings!$B$2:$B$4</definedName>
    <definedName name="lstSuppliers">Settings!$B$12:$B$16</definedName>
    <definedName name="lstTransTypes">Settings!$B$18:$B$21</definedName>
    <definedName name="lstYesNo">{"Yes","No"}</definedName>
    <definedName name="Slicer_Category">#N/A</definedName>
    <definedName name="Slicer_Date">#N/A</definedName>
    <definedName name="Slicer_Location">#N/A</definedName>
    <definedName name="Slicer_Supplier">#N/A</definedName>
  </definedNames>
  <calcPr calcId="191029"/>
  <pivotCaches>
    <pivotCache cacheId="9" r:id="rId10"/>
    <pivotCache cacheId="12" r:id="rId11"/>
    <pivotCache cacheId="15" r:id="rId12"/>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3"/>
        <x14:slicerCache r:id="rId14"/>
        <x14:slicerCache r:id="rId15"/>
        <x14:slicerCache r:id="rId1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J2" i="6" l="1" a="1"/>
  <c r="K2" i="6" a="1"/>
  <c r="L2" i="6" a="1"/>
  <c r="M2" i="6" a="1"/>
  <c r="N2" i="6" a="1"/>
  <c r="O2" i="6" a="1"/>
  <c r="P2" i="6" a="1"/>
  <c r="Q2" i="6" a="1"/>
  <c r="J3" i="6" a="1"/>
  <c r="K3" i="6" a="1"/>
  <c r="L3" i="6" a="1"/>
  <c r="M3" i="6" a="1"/>
  <c r="N3" i="6" a="1"/>
  <c r="O3" i="6" a="1"/>
  <c r="P3" i="6" a="1"/>
  <c r="Q3" i="6" a="1"/>
  <c r="J4" i="6" a="1"/>
  <c r="K4" i="6" a="1"/>
  <c r="L4" i="6" a="1"/>
  <c r="M4" i="6" a="1"/>
  <c r="N4" i="6" a="1"/>
  <c r="O4" i="6" a="1"/>
  <c r="P4" i="6" a="1"/>
  <c r="Q4" i="6" a="1"/>
  <c r="J5" i="6" a="1"/>
  <c r="K5" i="6" a="1"/>
  <c r="L5" i="6" a="1"/>
  <c r="M5" i="6" a="1"/>
  <c r="N5" i="6" a="1"/>
  <c r="O5" i="6" a="1"/>
  <c r="P5" i="6" a="1"/>
  <c r="Q5" i="6" a="1"/>
  <c r="J6" i="6" a="1"/>
  <c r="K6" i="6" a="1"/>
  <c r="L6" i="6" a="1"/>
  <c r="M6" i="6" a="1"/>
  <c r="N6" i="6" a="1"/>
  <c r="O6" i="6" a="1"/>
  <c r="P6" i="6" a="1"/>
  <c r="Q6" i="6" a="1"/>
  <c r="N7" i="6" a="1"/>
  <c r="O7" i="6" a="1"/>
  <c r="A336" i="10"/>
  <c r="B336" i="10"/>
  <c r="C336" i="10"/>
  <c r="D336" i="10"/>
  <c r="E336" i="10"/>
  <c r="F336" i="10"/>
  <c r="G336" i="10"/>
  <c r="H336" i="10"/>
  <c r="I336" i="10"/>
  <c r="A337" i="10"/>
  <c r="B337" i="10"/>
  <c r="C337" i="10"/>
  <c r="D337" i="10"/>
  <c r="E337" i="10"/>
  <c r="F337" i="10"/>
  <c r="G337" i="10"/>
  <c r="H337" i="10"/>
  <c r="I337" i="10"/>
  <c r="A338" i="10"/>
  <c r="B338" i="10"/>
  <c r="C338" i="10"/>
  <c r="D338" i="10"/>
  <c r="E338" i="10"/>
  <c r="F338" i="10"/>
  <c r="G338" i="10"/>
  <c r="H338" i="10"/>
  <c r="I338" i="10"/>
  <c r="A339" i="10"/>
  <c r="B339" i="10"/>
  <c r="C339" i="10"/>
  <c r="D339" i="10"/>
  <c r="E339" i="10"/>
  <c r="F339" i="10"/>
  <c r="G339" i="10"/>
  <c r="H339" i="10"/>
  <c r="I339" i="10"/>
  <c r="A340" i="10"/>
  <c r="B340" i="10"/>
  <c r="C340" i="10"/>
  <c r="D340" i="10"/>
  <c r="E340" i="10"/>
  <c r="F340" i="10"/>
  <c r="G340" i="10"/>
  <c r="H340" i="10"/>
  <c r="I340" i="10"/>
  <c r="A341" i="10"/>
  <c r="B341" i="10"/>
  <c r="C341" i="10"/>
  <c r="D341" i="10"/>
  <c r="E341" i="10"/>
  <c r="F341" i="10"/>
  <c r="G341" i="10"/>
  <c r="H341" i="10"/>
  <c r="I341" i="10"/>
  <c r="A342" i="10"/>
  <c r="B342" i="10"/>
  <c r="C342" i="10"/>
  <c r="D342" i="10"/>
  <c r="E342" i="10"/>
  <c r="F342" i="10"/>
  <c r="G342" i="10"/>
  <c r="H342" i="10"/>
  <c r="I342" i="10"/>
  <c r="A343" i="10"/>
  <c r="B343" i="10"/>
  <c r="C343" i="10"/>
  <c r="D343" i="10"/>
  <c r="E343" i="10"/>
  <c r="F343" i="10"/>
  <c r="G343" i="10"/>
  <c r="H343" i="10"/>
  <c r="I343" i="10"/>
  <c r="A344" i="10"/>
  <c r="B344" i="10"/>
  <c r="C344" i="10"/>
  <c r="D344" i="10"/>
  <c r="E344" i="10"/>
  <c r="F344" i="10"/>
  <c r="G344" i="10"/>
  <c r="H344" i="10"/>
  <c r="I344" i="10"/>
  <c r="A345" i="10"/>
  <c r="B345" i="10"/>
  <c r="C345" i="10"/>
  <c r="D345" i="10"/>
  <c r="E345" i="10"/>
  <c r="F345" i="10"/>
  <c r="G345" i="10"/>
  <c r="H345" i="10"/>
  <c r="I345" i="10"/>
  <c r="A346" i="10"/>
  <c r="B346" i="10"/>
  <c r="C346" i="10"/>
  <c r="D346" i="10"/>
  <c r="E346" i="10"/>
  <c r="F346" i="10"/>
  <c r="G346" i="10"/>
  <c r="H346" i="10"/>
  <c r="I346" i="10"/>
  <c r="A347" i="10"/>
  <c r="B347" i="10"/>
  <c r="C347" i="10"/>
  <c r="D347" i="10"/>
  <c r="E347" i="10"/>
  <c r="F347" i="10"/>
  <c r="G347" i="10"/>
  <c r="H347" i="10"/>
  <c r="I347" i="10"/>
  <c r="A348" i="10"/>
  <c r="B348" i="10"/>
  <c r="C348" i="10"/>
  <c r="D348" i="10"/>
  <c r="E348" i="10"/>
  <c r="F348" i="10"/>
  <c r="G348" i="10"/>
  <c r="H348" i="10"/>
  <c r="I348" i="10"/>
  <c r="A349" i="10"/>
  <c r="B349" i="10"/>
  <c r="C349" i="10"/>
  <c r="D349" i="10"/>
  <c r="E349" i="10"/>
  <c r="F349" i="10"/>
  <c r="G349" i="10"/>
  <c r="H349" i="10"/>
  <c r="I349" i="10"/>
  <c r="A350" i="10"/>
  <c r="B350" i="10"/>
  <c r="C350" i="10"/>
  <c r="D350" i="10"/>
  <c r="E350" i="10"/>
  <c r="F350" i="10"/>
  <c r="G350" i="10"/>
  <c r="H350" i="10"/>
  <c r="I350" i="10"/>
  <c r="A351" i="10"/>
  <c r="B351" i="10"/>
  <c r="C351" i="10"/>
  <c r="D351" i="10"/>
  <c r="E351" i="10"/>
  <c r="F351" i="10"/>
  <c r="G351" i="10"/>
  <c r="H351" i="10"/>
  <c r="I351" i="10"/>
  <c r="A352" i="10"/>
  <c r="B352" i="10"/>
  <c r="C352" i="10"/>
  <c r="D352" i="10"/>
  <c r="E352" i="10"/>
  <c r="F352" i="10"/>
  <c r="G352" i="10"/>
  <c r="H352" i="10"/>
  <c r="I352" i="10"/>
  <c r="A353" i="10"/>
  <c r="B353" i="10"/>
  <c r="C353" i="10"/>
  <c r="D353" i="10"/>
  <c r="E353" i="10"/>
  <c r="F353" i="10"/>
  <c r="G353" i="10"/>
  <c r="H353" i="10"/>
  <c r="I353" i="10"/>
  <c r="A354" i="10"/>
  <c r="B354" i="10"/>
  <c r="C354" i="10"/>
  <c r="D354" i="10"/>
  <c r="E354" i="10"/>
  <c r="F354" i="10"/>
  <c r="G354" i="10"/>
  <c r="H354" i="10"/>
  <c r="I354" i="10"/>
  <c r="A355" i="10"/>
  <c r="B355" i="10"/>
  <c r="C355" i="10"/>
  <c r="D355" i="10"/>
  <c r="E355" i="10"/>
  <c r="F355" i="10"/>
  <c r="G355" i="10"/>
  <c r="H355" i="10"/>
  <c r="I355" i="10"/>
  <c r="A356" i="10"/>
  <c r="B356" i="10"/>
  <c r="C356" i="10"/>
  <c r="D356" i="10"/>
  <c r="E356" i="10"/>
  <c r="F356" i="10"/>
  <c r="G356" i="10"/>
  <c r="H356" i="10"/>
  <c r="I356" i="10"/>
  <c r="A357" i="10"/>
  <c r="B357" i="10"/>
  <c r="C357" i="10"/>
  <c r="D357" i="10"/>
  <c r="E357" i="10"/>
  <c r="F357" i="10"/>
  <c r="G357" i="10"/>
  <c r="H357" i="10"/>
  <c r="I357" i="10"/>
  <c r="A358" i="10"/>
  <c r="B358" i="10"/>
  <c r="C358" i="10"/>
  <c r="D358" i="10"/>
  <c r="E358" i="10"/>
  <c r="F358" i="10"/>
  <c r="G358" i="10"/>
  <c r="H358" i="10"/>
  <c r="I358" i="10"/>
  <c r="A359" i="10"/>
  <c r="B359" i="10"/>
  <c r="C359" i="10"/>
  <c r="D359" i="10"/>
  <c r="E359" i="10"/>
  <c r="F359" i="10"/>
  <c r="G359" i="10"/>
  <c r="H359" i="10"/>
  <c r="I359" i="10"/>
  <c r="A360" i="10"/>
  <c r="B360" i="10"/>
  <c r="C360" i="10"/>
  <c r="D360" i="10"/>
  <c r="E360" i="10"/>
  <c r="F360" i="10"/>
  <c r="G360" i="10"/>
  <c r="H360" i="10"/>
  <c r="I360" i="10"/>
  <c r="A361" i="10"/>
  <c r="B361" i="10"/>
  <c r="C361" i="10"/>
  <c r="D361" i="10"/>
  <c r="E361" i="10"/>
  <c r="F361" i="10"/>
  <c r="G361" i="10"/>
  <c r="H361" i="10"/>
  <c r="I361" i="10"/>
  <c r="A362" i="10"/>
  <c r="B362" i="10"/>
  <c r="C362" i="10"/>
  <c r="D362" i="10"/>
  <c r="E362" i="10"/>
  <c r="F362" i="10"/>
  <c r="G362" i="10"/>
  <c r="H362" i="10"/>
  <c r="I362" i="10"/>
  <c r="A363" i="10"/>
  <c r="B363" i="10"/>
  <c r="C363" i="10"/>
  <c r="D363" i="10"/>
  <c r="E363" i="10"/>
  <c r="F363" i="10"/>
  <c r="G363" i="10"/>
  <c r="H363" i="10"/>
  <c r="I363" i="10"/>
  <c r="A364" i="10"/>
  <c r="B364" i="10"/>
  <c r="C364" i="10"/>
  <c r="D364" i="10"/>
  <c r="E364" i="10"/>
  <c r="F364" i="10"/>
  <c r="G364" i="10"/>
  <c r="H364" i="10"/>
  <c r="I364" i="10"/>
  <c r="A365" i="10"/>
  <c r="B365" i="10"/>
  <c r="C365" i="10"/>
  <c r="D365" i="10"/>
  <c r="E365" i="10"/>
  <c r="F365" i="10"/>
  <c r="G365" i="10"/>
  <c r="H365" i="10"/>
  <c r="I365" i="10"/>
  <c r="A366" i="10"/>
  <c r="B366" i="10"/>
  <c r="C366" i="10"/>
  <c r="D366" i="10"/>
  <c r="E366" i="10"/>
  <c r="F366" i="10"/>
  <c r="G366" i="10"/>
  <c r="H366" i="10"/>
  <c r="I366" i="10"/>
  <c r="A367" i="10"/>
  <c r="B367" i="10"/>
  <c r="C367" i="10"/>
  <c r="D367" i="10"/>
  <c r="E367" i="10"/>
  <c r="F367" i="10"/>
  <c r="G367" i="10"/>
  <c r="H367" i="10"/>
  <c r="I367" i="10"/>
  <c r="A368" i="10"/>
  <c r="B368" i="10"/>
  <c r="C368" i="10"/>
  <c r="D368" i="10"/>
  <c r="E368" i="10"/>
  <c r="F368" i="10"/>
  <c r="G368" i="10"/>
  <c r="H368" i="10"/>
  <c r="I368" i="10"/>
  <c r="A369" i="10"/>
  <c r="B369" i="10"/>
  <c r="C369" i="10"/>
  <c r="D369" i="10"/>
  <c r="E369" i="10"/>
  <c r="F369" i="10"/>
  <c r="G369" i="10"/>
  <c r="H369" i="10"/>
  <c r="I369" i="10"/>
  <c r="A370" i="10"/>
  <c r="B370" i="10"/>
  <c r="C370" i="10"/>
  <c r="D370" i="10"/>
  <c r="E370" i="10"/>
  <c r="F370" i="10"/>
  <c r="G370" i="10"/>
  <c r="H370" i="10"/>
  <c r="I370" i="10"/>
  <c r="A371" i="10"/>
  <c r="B371" i="10"/>
  <c r="C371" i="10"/>
  <c r="D371" i="10"/>
  <c r="E371" i="10"/>
  <c r="F371" i="10"/>
  <c r="G371" i="10"/>
  <c r="H371" i="10"/>
  <c r="I371" i="10"/>
  <c r="A372" i="10"/>
  <c r="B372" i="10"/>
  <c r="C372" i="10"/>
  <c r="D372" i="10"/>
  <c r="E372" i="10"/>
  <c r="F372" i="10"/>
  <c r="G372" i="10"/>
  <c r="H372" i="10"/>
  <c r="I372" i="10"/>
  <c r="A373" i="10"/>
  <c r="B373" i="10"/>
  <c r="C373" i="10"/>
  <c r="D373" i="10"/>
  <c r="E373" i="10"/>
  <c r="F373" i="10"/>
  <c r="G373" i="10"/>
  <c r="H373" i="10"/>
  <c r="I373" i="10"/>
  <c r="A374" i="10"/>
  <c r="B374" i="10"/>
  <c r="C374" i="10"/>
  <c r="D374" i="10"/>
  <c r="E374" i="10"/>
  <c r="F374" i="10"/>
  <c r="G374" i="10"/>
  <c r="H374" i="10"/>
  <c r="I374" i="10"/>
  <c r="A375" i="10"/>
  <c r="B375" i="10"/>
  <c r="C375" i="10"/>
  <c r="D375" i="10"/>
  <c r="E375" i="10"/>
  <c r="F375" i="10"/>
  <c r="G375" i="10"/>
  <c r="H375" i="10"/>
  <c r="I375" i="10"/>
  <c r="A376" i="10"/>
  <c r="B376" i="10"/>
  <c r="C376" i="10"/>
  <c r="D376" i="10"/>
  <c r="E376" i="10"/>
  <c r="F376" i="10"/>
  <c r="G376" i="10"/>
  <c r="H376" i="10"/>
  <c r="I376" i="10"/>
  <c r="A377" i="10"/>
  <c r="B377" i="10"/>
  <c r="C377" i="10"/>
  <c r="D377" i="10"/>
  <c r="E377" i="10"/>
  <c r="F377" i="10"/>
  <c r="G377" i="10"/>
  <c r="H377" i="10"/>
  <c r="I377" i="10"/>
  <c r="A378" i="10"/>
  <c r="B378" i="10"/>
  <c r="C378" i="10"/>
  <c r="D378" i="10"/>
  <c r="E378" i="10"/>
  <c r="F378" i="10"/>
  <c r="G378" i="10"/>
  <c r="H378" i="10"/>
  <c r="I378" i="10"/>
  <c r="A379" i="10"/>
  <c r="B379" i="10"/>
  <c r="C379" i="10"/>
  <c r="D379" i="10"/>
  <c r="E379" i="10"/>
  <c r="F379" i="10"/>
  <c r="G379" i="10"/>
  <c r="H379" i="10"/>
  <c r="I379" i="10"/>
  <c r="A380" i="10"/>
  <c r="B380" i="10"/>
  <c r="C380" i="10"/>
  <c r="D380" i="10"/>
  <c r="E380" i="10"/>
  <c r="F380" i="10"/>
  <c r="G380" i="10"/>
  <c r="H380" i="10"/>
  <c r="I380" i="10"/>
  <c r="A381" i="10"/>
  <c r="B381" i="10"/>
  <c r="C381" i="10"/>
  <c r="D381" i="10"/>
  <c r="E381" i="10"/>
  <c r="F381" i="10"/>
  <c r="G381" i="10"/>
  <c r="H381" i="10"/>
  <c r="I381" i="10"/>
  <c r="A382" i="10"/>
  <c r="B382" i="10"/>
  <c r="C382" i="10"/>
  <c r="D382" i="10"/>
  <c r="E382" i="10"/>
  <c r="F382" i="10"/>
  <c r="G382" i="10"/>
  <c r="H382" i="10"/>
  <c r="I382" i="10"/>
  <c r="A383" i="10"/>
  <c r="B383" i="10"/>
  <c r="C383" i="10"/>
  <c r="D383" i="10"/>
  <c r="E383" i="10"/>
  <c r="F383" i="10"/>
  <c r="G383" i="10"/>
  <c r="H383" i="10"/>
  <c r="I383" i="10"/>
  <c r="A384" i="10"/>
  <c r="B384" i="10"/>
  <c r="C384" i="10"/>
  <c r="D384" i="10"/>
  <c r="E384" i="10"/>
  <c r="F384" i="10"/>
  <c r="G384" i="10"/>
  <c r="H384" i="10"/>
  <c r="I384" i="10"/>
  <c r="A385" i="10"/>
  <c r="B385" i="10"/>
  <c r="C385" i="10"/>
  <c r="D385" i="10"/>
  <c r="E385" i="10"/>
  <c r="F385" i="10"/>
  <c r="G385" i="10"/>
  <c r="H385" i="10"/>
  <c r="I385" i="10"/>
  <c r="A386" i="10"/>
  <c r="B386" i="10"/>
  <c r="C386" i="10"/>
  <c r="D386" i="10"/>
  <c r="E386" i="10"/>
  <c r="F386" i="10"/>
  <c r="G386" i="10"/>
  <c r="H386" i="10"/>
  <c r="I386" i="10"/>
  <c r="A387" i="10"/>
  <c r="B387" i="10"/>
  <c r="C387" i="10"/>
  <c r="D387" i="10"/>
  <c r="E387" i="10"/>
  <c r="F387" i="10"/>
  <c r="G387" i="10"/>
  <c r="H387" i="10"/>
  <c r="I387" i="10"/>
  <c r="A388" i="10"/>
  <c r="B388" i="10"/>
  <c r="C388" i="10"/>
  <c r="D388" i="10"/>
  <c r="E388" i="10"/>
  <c r="F388" i="10"/>
  <c r="G388" i="10"/>
  <c r="H388" i="10"/>
  <c r="I388" i="10"/>
  <c r="A389" i="10"/>
  <c r="B389" i="10"/>
  <c r="C389" i="10"/>
  <c r="D389" i="10"/>
  <c r="E389" i="10"/>
  <c r="F389" i="10"/>
  <c r="G389" i="10"/>
  <c r="H389" i="10"/>
  <c r="I389" i="10"/>
  <c r="A390" i="10"/>
  <c r="B390" i="10"/>
  <c r="C390" i="10"/>
  <c r="D390" i="10"/>
  <c r="E390" i="10"/>
  <c r="F390" i="10"/>
  <c r="G390" i="10"/>
  <c r="H390" i="10"/>
  <c r="I390" i="10"/>
  <c r="A391" i="10"/>
  <c r="B391" i="10"/>
  <c r="C391" i="10"/>
  <c r="D391" i="10"/>
  <c r="E391" i="10"/>
  <c r="F391" i="10"/>
  <c r="G391" i="10"/>
  <c r="H391" i="10"/>
  <c r="I391" i="10"/>
  <c r="A392" i="10"/>
  <c r="B392" i="10"/>
  <c r="C392" i="10"/>
  <c r="D392" i="10"/>
  <c r="E392" i="10"/>
  <c r="F392" i="10"/>
  <c r="G392" i="10"/>
  <c r="H392" i="10"/>
  <c r="I392" i="10"/>
  <c r="A393" i="10"/>
  <c r="B393" i="10"/>
  <c r="C393" i="10"/>
  <c r="D393" i="10"/>
  <c r="E393" i="10"/>
  <c r="F393" i="10"/>
  <c r="G393" i="10"/>
  <c r="H393" i="10"/>
  <c r="I393" i="10"/>
  <c r="A394" i="10"/>
  <c r="B394" i="10"/>
  <c r="C394" i="10"/>
  <c r="D394" i="10"/>
  <c r="E394" i="10"/>
  <c r="F394" i="10"/>
  <c r="G394" i="10"/>
  <c r="H394" i="10"/>
  <c r="I394" i="10"/>
  <c r="A395" i="10"/>
  <c r="B395" i="10"/>
  <c r="C395" i="10"/>
  <c r="D395" i="10"/>
  <c r="E395" i="10"/>
  <c r="F395" i="10"/>
  <c r="G395" i="10"/>
  <c r="H395" i="10"/>
  <c r="I395" i="10"/>
  <c r="A396" i="10"/>
  <c r="B396" i="10"/>
  <c r="C396" i="10"/>
  <c r="D396" i="10"/>
  <c r="E396" i="10"/>
  <c r="F396" i="10"/>
  <c r="G396" i="10"/>
  <c r="H396" i="10"/>
  <c r="I396" i="10"/>
  <c r="A397" i="10"/>
  <c r="B397" i="10"/>
  <c r="C397" i="10"/>
  <c r="D397" i="10"/>
  <c r="E397" i="10"/>
  <c r="F397" i="10"/>
  <c r="G397" i="10"/>
  <c r="H397" i="10"/>
  <c r="I397" i="10"/>
  <c r="A398" i="10"/>
  <c r="B398" i="10"/>
  <c r="C398" i="10"/>
  <c r="D398" i="10"/>
  <c r="E398" i="10"/>
  <c r="F398" i="10"/>
  <c r="G398" i="10"/>
  <c r="H398" i="10"/>
  <c r="I398" i="10"/>
  <c r="A399" i="10"/>
  <c r="B399" i="10"/>
  <c r="C399" i="10"/>
  <c r="D399" i="10"/>
  <c r="E399" i="10"/>
  <c r="F399" i="10"/>
  <c r="G399" i="10"/>
  <c r="H399" i="10"/>
  <c r="I399" i="10"/>
  <c r="A400" i="10"/>
  <c r="B400" i="10"/>
  <c r="C400" i="10"/>
  <c r="D400" i="10"/>
  <c r="E400" i="10"/>
  <c r="F400" i="10"/>
  <c r="G400" i="10"/>
  <c r="H400" i="10"/>
  <c r="I400" i="10"/>
  <c r="A401" i="10"/>
  <c r="B401" i="10"/>
  <c r="C401" i="10"/>
  <c r="D401" i="10"/>
  <c r="E401" i="10"/>
  <c r="F401" i="10"/>
  <c r="G401" i="10"/>
  <c r="H401" i="10"/>
  <c r="I401" i="10"/>
  <c r="A402" i="10"/>
  <c r="B402" i="10"/>
  <c r="C402" i="10"/>
  <c r="D402" i="10"/>
  <c r="E402" i="10"/>
  <c r="F402" i="10"/>
  <c r="G402" i="10"/>
  <c r="H402" i="10"/>
  <c r="I402" i="10"/>
  <c r="A403" i="10"/>
  <c r="B403" i="10"/>
  <c r="C403" i="10"/>
  <c r="D403" i="10"/>
  <c r="E403" i="10"/>
  <c r="F403" i="10"/>
  <c r="G403" i="10"/>
  <c r="H403" i="10"/>
  <c r="I403" i="10"/>
  <c r="A404" i="10"/>
  <c r="B404" i="10"/>
  <c r="C404" i="10"/>
  <c r="D404" i="10"/>
  <c r="E404" i="10"/>
  <c r="F404" i="10"/>
  <c r="G404" i="10"/>
  <c r="H404" i="10"/>
  <c r="I404" i="10"/>
  <c r="A405" i="10"/>
  <c r="B405" i="10"/>
  <c r="C405" i="10"/>
  <c r="D405" i="10"/>
  <c r="E405" i="10"/>
  <c r="F405" i="10"/>
  <c r="G405" i="10"/>
  <c r="H405" i="10"/>
  <c r="I405" i="10"/>
  <c r="A406" i="10"/>
  <c r="B406" i="10"/>
  <c r="C406" i="10"/>
  <c r="D406" i="10"/>
  <c r="E406" i="10"/>
  <c r="F406" i="10"/>
  <c r="G406" i="10"/>
  <c r="H406" i="10"/>
  <c r="I406" i="10"/>
  <c r="A407" i="10"/>
  <c r="B407" i="10"/>
  <c r="C407" i="10"/>
  <c r="D407" i="10"/>
  <c r="E407" i="10"/>
  <c r="F407" i="10"/>
  <c r="G407" i="10"/>
  <c r="H407" i="10"/>
  <c r="I407" i="10"/>
  <c r="A408" i="10"/>
  <c r="B408" i="10"/>
  <c r="C408" i="10"/>
  <c r="D408" i="10"/>
  <c r="E408" i="10"/>
  <c r="F408" i="10"/>
  <c r="G408" i="10"/>
  <c r="H408" i="10"/>
  <c r="I408" i="10"/>
  <c r="A409" i="10"/>
  <c r="B409" i="10"/>
  <c r="C409" i="10"/>
  <c r="D409" i="10"/>
  <c r="E409" i="10"/>
  <c r="F409" i="10"/>
  <c r="G409" i="10"/>
  <c r="H409" i="10"/>
  <c r="I409" i="10"/>
  <c r="A410" i="10"/>
  <c r="B410" i="10"/>
  <c r="C410" i="10"/>
  <c r="D410" i="10"/>
  <c r="E410" i="10"/>
  <c r="F410" i="10"/>
  <c r="G410" i="10"/>
  <c r="H410" i="10"/>
  <c r="I410" i="10"/>
  <c r="A411" i="10"/>
  <c r="B411" i="10"/>
  <c r="C411" i="10"/>
  <c r="D411" i="10"/>
  <c r="E411" i="10"/>
  <c r="F411" i="10"/>
  <c r="G411" i="10"/>
  <c r="H411" i="10"/>
  <c r="I411" i="10"/>
  <c r="A412" i="10"/>
  <c r="B412" i="10"/>
  <c r="C412" i="10"/>
  <c r="D412" i="10"/>
  <c r="E412" i="10"/>
  <c r="F412" i="10"/>
  <c r="G412" i="10"/>
  <c r="H412" i="10"/>
  <c r="I412" i="10"/>
  <c r="A413" i="10"/>
  <c r="B413" i="10"/>
  <c r="C413" i="10"/>
  <c r="D413" i="10"/>
  <c r="E413" i="10"/>
  <c r="F413" i="10"/>
  <c r="G413" i="10"/>
  <c r="H413" i="10"/>
  <c r="I413" i="10"/>
  <c r="A414" i="10"/>
  <c r="B414" i="10"/>
  <c r="C414" i="10"/>
  <c r="D414" i="10"/>
  <c r="E414" i="10"/>
  <c r="F414" i="10"/>
  <c r="G414" i="10"/>
  <c r="H414" i="10"/>
  <c r="I414" i="10"/>
  <c r="A415" i="10"/>
  <c r="B415" i="10"/>
  <c r="C415" i="10"/>
  <c r="D415" i="10"/>
  <c r="E415" i="10"/>
  <c r="F415" i="10"/>
  <c r="G415" i="10"/>
  <c r="H415" i="10"/>
  <c r="I415" i="10"/>
  <c r="A416" i="10"/>
  <c r="B416" i="10"/>
  <c r="C416" i="10"/>
  <c r="D416" i="10"/>
  <c r="E416" i="10"/>
  <c r="F416" i="10"/>
  <c r="G416" i="10"/>
  <c r="H416" i="10"/>
  <c r="I416" i="10"/>
  <c r="A417" i="10"/>
  <c r="B417" i="10"/>
  <c r="C417" i="10"/>
  <c r="D417" i="10"/>
  <c r="E417" i="10"/>
  <c r="F417" i="10"/>
  <c r="G417" i="10"/>
  <c r="H417" i="10"/>
  <c r="I417" i="10"/>
  <c r="A418" i="10"/>
  <c r="B418" i="10"/>
  <c r="C418" i="10"/>
  <c r="D418" i="10"/>
  <c r="E418" i="10"/>
  <c r="F418" i="10"/>
  <c r="G418" i="10"/>
  <c r="H418" i="10"/>
  <c r="I418" i="10"/>
  <c r="A419" i="10"/>
  <c r="B419" i="10"/>
  <c r="C419" i="10"/>
  <c r="D419" i="10"/>
  <c r="E419" i="10"/>
  <c r="F419" i="10"/>
  <c r="G419" i="10"/>
  <c r="H419" i="10"/>
  <c r="I419" i="10"/>
  <c r="A420" i="10"/>
  <c r="B420" i="10"/>
  <c r="C420" i="10"/>
  <c r="D420" i="10"/>
  <c r="E420" i="10"/>
  <c r="F420" i="10"/>
  <c r="G420" i="10"/>
  <c r="H420" i="10"/>
  <c r="I420" i="10"/>
  <c r="A421" i="10"/>
  <c r="B421" i="10"/>
  <c r="C421" i="10"/>
  <c r="D421" i="10"/>
  <c r="E421" i="10"/>
  <c r="F421" i="10"/>
  <c r="G421" i="10"/>
  <c r="H421" i="10"/>
  <c r="I421" i="10"/>
  <c r="A422" i="10"/>
  <c r="B422" i="10"/>
  <c r="C422" i="10"/>
  <c r="D422" i="10"/>
  <c r="E422" i="10"/>
  <c r="F422" i="10"/>
  <c r="G422" i="10"/>
  <c r="H422" i="10"/>
  <c r="I422" i="10"/>
  <c r="A423" i="10"/>
  <c r="B423" i="10"/>
  <c r="C423" i="10"/>
  <c r="D423" i="10"/>
  <c r="E423" i="10"/>
  <c r="F423" i="10"/>
  <c r="G423" i="10"/>
  <c r="H423" i="10"/>
  <c r="I423" i="10"/>
  <c r="A424" i="10"/>
  <c r="B424" i="10"/>
  <c r="C424" i="10"/>
  <c r="D424" i="10"/>
  <c r="E424" i="10"/>
  <c r="F424" i="10"/>
  <c r="G424" i="10"/>
  <c r="H424" i="10"/>
  <c r="I424" i="10"/>
  <c r="A425" i="10"/>
  <c r="B425" i="10"/>
  <c r="C425" i="10"/>
  <c r="D425" i="10"/>
  <c r="E425" i="10"/>
  <c r="F425" i="10"/>
  <c r="G425" i="10"/>
  <c r="H425" i="10"/>
  <c r="I425" i="10"/>
  <c r="A426" i="10"/>
  <c r="B426" i="10"/>
  <c r="C426" i="10"/>
  <c r="D426" i="10"/>
  <c r="E426" i="10"/>
  <c r="F426" i="10"/>
  <c r="G426" i="10"/>
  <c r="H426" i="10"/>
  <c r="I426" i="10"/>
  <c r="A427" i="10"/>
  <c r="B427" i="10"/>
  <c r="C427" i="10"/>
  <c r="D427" i="10"/>
  <c r="E427" i="10"/>
  <c r="F427" i="10"/>
  <c r="G427" i="10"/>
  <c r="H427" i="10"/>
  <c r="I427" i="10"/>
  <c r="A428" i="10"/>
  <c r="B428" i="10"/>
  <c r="C428" i="10"/>
  <c r="D428" i="10"/>
  <c r="E428" i="10"/>
  <c r="F428" i="10"/>
  <c r="G428" i="10"/>
  <c r="H428" i="10"/>
  <c r="I428" i="10"/>
  <c r="A429" i="10"/>
  <c r="B429" i="10"/>
  <c r="C429" i="10"/>
  <c r="D429" i="10"/>
  <c r="E429" i="10"/>
  <c r="F429" i="10"/>
  <c r="G429" i="10"/>
  <c r="H429" i="10"/>
  <c r="I429" i="10"/>
  <c r="A430" i="10"/>
  <c r="B430" i="10"/>
  <c r="C430" i="10"/>
  <c r="D430" i="10"/>
  <c r="E430" i="10"/>
  <c r="F430" i="10"/>
  <c r="G430" i="10"/>
  <c r="H430" i="10"/>
  <c r="I430" i="10"/>
  <c r="A431" i="10"/>
  <c r="B431" i="10"/>
  <c r="C431" i="10"/>
  <c r="D431" i="10"/>
  <c r="E431" i="10"/>
  <c r="F431" i="10"/>
  <c r="G431" i="10"/>
  <c r="H431" i="10"/>
  <c r="I431" i="10"/>
  <c r="A432" i="10"/>
  <c r="B432" i="10"/>
  <c r="C432" i="10"/>
  <c r="D432" i="10"/>
  <c r="E432" i="10"/>
  <c r="F432" i="10"/>
  <c r="G432" i="10"/>
  <c r="H432" i="10"/>
  <c r="I432" i="10"/>
  <c r="A433" i="10"/>
  <c r="B433" i="10"/>
  <c r="C433" i="10"/>
  <c r="D433" i="10"/>
  <c r="E433" i="10"/>
  <c r="F433" i="10"/>
  <c r="G433" i="10"/>
  <c r="H433" i="10"/>
  <c r="I433" i="10"/>
  <c r="A434" i="10"/>
  <c r="B434" i="10"/>
  <c r="C434" i="10"/>
  <c r="D434" i="10"/>
  <c r="E434" i="10"/>
  <c r="F434" i="10"/>
  <c r="G434" i="10"/>
  <c r="H434" i="10"/>
  <c r="I434" i="10"/>
  <c r="A435" i="10"/>
  <c r="B435" i="10"/>
  <c r="C435" i="10"/>
  <c r="D435" i="10"/>
  <c r="E435" i="10"/>
  <c r="F435" i="10"/>
  <c r="G435" i="10"/>
  <c r="H435" i="10"/>
  <c r="I435" i="10"/>
  <c r="A436" i="10"/>
  <c r="B436" i="10"/>
  <c r="C436" i="10"/>
  <c r="D436" i="10"/>
  <c r="E436" i="10"/>
  <c r="F436" i="10"/>
  <c r="G436" i="10"/>
  <c r="H436" i="10"/>
  <c r="I436" i="10"/>
  <c r="A437" i="10"/>
  <c r="B437" i="10"/>
  <c r="C437" i="10"/>
  <c r="D437" i="10"/>
  <c r="E437" i="10"/>
  <c r="F437" i="10"/>
  <c r="G437" i="10"/>
  <c r="H437" i="10"/>
  <c r="I437" i="10"/>
  <c r="A438" i="10"/>
  <c r="B438" i="10"/>
  <c r="C438" i="10"/>
  <c r="D438" i="10"/>
  <c r="E438" i="10"/>
  <c r="F438" i="10"/>
  <c r="G438" i="10"/>
  <c r="H438" i="10"/>
  <c r="I438" i="10"/>
  <c r="A439" i="10"/>
  <c r="B439" i="10"/>
  <c r="C439" i="10"/>
  <c r="D439" i="10"/>
  <c r="E439" i="10"/>
  <c r="F439" i="10"/>
  <c r="G439" i="10"/>
  <c r="H439" i="10"/>
  <c r="I439" i="10"/>
  <c r="A440" i="10"/>
  <c r="B440" i="10"/>
  <c r="C440" i="10"/>
  <c r="D440" i="10"/>
  <c r="E440" i="10"/>
  <c r="F440" i="10"/>
  <c r="G440" i="10"/>
  <c r="H440" i="10"/>
  <c r="I440" i="10"/>
  <c r="A441" i="10"/>
  <c r="B441" i="10"/>
  <c r="C441" i="10"/>
  <c r="D441" i="10"/>
  <c r="E441" i="10"/>
  <c r="F441" i="10"/>
  <c r="G441" i="10"/>
  <c r="H441" i="10"/>
  <c r="I441" i="10"/>
  <c r="A442" i="10"/>
  <c r="B442" i="10"/>
  <c r="C442" i="10"/>
  <c r="D442" i="10"/>
  <c r="E442" i="10"/>
  <c r="F442" i="10"/>
  <c r="G442" i="10"/>
  <c r="H442" i="10"/>
  <c r="I442" i="10"/>
  <c r="A443" i="10"/>
  <c r="B443" i="10"/>
  <c r="C443" i="10"/>
  <c r="D443" i="10"/>
  <c r="E443" i="10"/>
  <c r="F443" i="10"/>
  <c r="G443" i="10"/>
  <c r="H443" i="10"/>
  <c r="I443" i="10"/>
  <c r="A444" i="10"/>
  <c r="B444" i="10"/>
  <c r="C444" i="10"/>
  <c r="D444" i="10"/>
  <c r="E444" i="10"/>
  <c r="F444" i="10"/>
  <c r="G444" i="10"/>
  <c r="H444" i="10"/>
  <c r="I444" i="10"/>
  <c r="A445" i="10"/>
  <c r="B445" i="10"/>
  <c r="C445" i="10"/>
  <c r="D445" i="10"/>
  <c r="E445" i="10"/>
  <c r="F445" i="10"/>
  <c r="G445" i="10"/>
  <c r="H445" i="10"/>
  <c r="I445" i="10"/>
  <c r="A446" i="10"/>
  <c r="B446" i="10"/>
  <c r="C446" i="10"/>
  <c r="D446" i="10"/>
  <c r="E446" i="10"/>
  <c r="F446" i="10"/>
  <c r="G446" i="10"/>
  <c r="H446" i="10"/>
  <c r="I446" i="10"/>
  <c r="A447" i="10"/>
  <c r="B447" i="10"/>
  <c r="C447" i="10"/>
  <c r="D447" i="10"/>
  <c r="E447" i="10"/>
  <c r="F447" i="10"/>
  <c r="G447" i="10"/>
  <c r="H447" i="10"/>
  <c r="I447" i="10"/>
  <c r="A448" i="10"/>
  <c r="B448" i="10"/>
  <c r="C448" i="10"/>
  <c r="D448" i="10"/>
  <c r="E448" i="10"/>
  <c r="F448" i="10"/>
  <c r="G448" i="10"/>
  <c r="H448" i="10"/>
  <c r="I448" i="10"/>
  <c r="A449" i="10"/>
  <c r="B449" i="10"/>
  <c r="C449" i="10"/>
  <c r="D449" i="10"/>
  <c r="E449" i="10"/>
  <c r="F449" i="10"/>
  <c r="G449" i="10"/>
  <c r="H449" i="10"/>
  <c r="I449" i="10"/>
  <c r="A450" i="10"/>
  <c r="B450" i="10"/>
  <c r="C450" i="10"/>
  <c r="D450" i="10"/>
  <c r="E450" i="10"/>
  <c r="F450" i="10"/>
  <c r="G450" i="10"/>
  <c r="H450" i="10"/>
  <c r="I450" i="10"/>
  <c r="A451" i="10"/>
  <c r="B451" i="10"/>
  <c r="C451" i="10"/>
  <c r="D451" i="10"/>
  <c r="E451" i="10"/>
  <c r="F451" i="10"/>
  <c r="G451" i="10"/>
  <c r="H451" i="10"/>
  <c r="I451" i="10"/>
  <c r="A452" i="10"/>
  <c r="B452" i="10"/>
  <c r="C452" i="10"/>
  <c r="D452" i="10"/>
  <c r="E452" i="10"/>
  <c r="F452" i="10"/>
  <c r="G452" i="10"/>
  <c r="H452" i="10"/>
  <c r="I452" i="10"/>
  <c r="A453" i="10"/>
  <c r="B453" i="10"/>
  <c r="C453" i="10"/>
  <c r="D453" i="10"/>
  <c r="E453" i="10"/>
  <c r="F453" i="10"/>
  <c r="G453" i="10"/>
  <c r="H453" i="10"/>
  <c r="I453" i="10"/>
  <c r="A454" i="10"/>
  <c r="B454" i="10"/>
  <c r="C454" i="10"/>
  <c r="D454" i="10"/>
  <c r="E454" i="10"/>
  <c r="F454" i="10"/>
  <c r="G454" i="10"/>
  <c r="H454" i="10"/>
  <c r="I454" i="10"/>
  <c r="A455" i="10"/>
  <c r="B455" i="10"/>
  <c r="C455" i="10"/>
  <c r="D455" i="10"/>
  <c r="E455" i="10"/>
  <c r="F455" i="10"/>
  <c r="G455" i="10"/>
  <c r="H455" i="10"/>
  <c r="I455" i="10"/>
  <c r="A456" i="10"/>
  <c r="B456" i="10"/>
  <c r="C456" i="10"/>
  <c r="D456" i="10"/>
  <c r="E456" i="10"/>
  <c r="F456" i="10"/>
  <c r="G456" i="10"/>
  <c r="H456" i="10"/>
  <c r="I456" i="10"/>
  <c r="A457" i="10"/>
  <c r="B457" i="10"/>
  <c r="C457" i="10"/>
  <c r="D457" i="10"/>
  <c r="E457" i="10"/>
  <c r="F457" i="10"/>
  <c r="G457" i="10"/>
  <c r="H457" i="10"/>
  <c r="I457" i="10"/>
  <c r="A458" i="10"/>
  <c r="B458" i="10"/>
  <c r="C458" i="10"/>
  <c r="D458" i="10"/>
  <c r="E458" i="10"/>
  <c r="F458" i="10"/>
  <c r="G458" i="10"/>
  <c r="H458" i="10"/>
  <c r="I458" i="10"/>
  <c r="A459" i="10"/>
  <c r="B459" i="10"/>
  <c r="C459" i="10"/>
  <c r="D459" i="10"/>
  <c r="E459" i="10"/>
  <c r="F459" i="10"/>
  <c r="G459" i="10"/>
  <c r="H459" i="10"/>
  <c r="I459" i="10"/>
  <c r="A460" i="10"/>
  <c r="B460" i="10"/>
  <c r="C460" i="10"/>
  <c r="D460" i="10"/>
  <c r="E460" i="10"/>
  <c r="F460" i="10"/>
  <c r="G460" i="10"/>
  <c r="H460" i="10"/>
  <c r="I460" i="10"/>
  <c r="A461" i="10"/>
  <c r="B461" i="10"/>
  <c r="C461" i="10"/>
  <c r="D461" i="10"/>
  <c r="E461" i="10"/>
  <c r="F461" i="10"/>
  <c r="G461" i="10"/>
  <c r="H461" i="10"/>
  <c r="I461" i="10"/>
  <c r="A462" i="10"/>
  <c r="B462" i="10"/>
  <c r="C462" i="10"/>
  <c r="D462" i="10"/>
  <c r="E462" i="10"/>
  <c r="F462" i="10"/>
  <c r="G462" i="10"/>
  <c r="H462" i="10"/>
  <c r="I462" i="10"/>
  <c r="A463" i="10"/>
  <c r="B463" i="10"/>
  <c r="C463" i="10"/>
  <c r="D463" i="10"/>
  <c r="E463" i="10"/>
  <c r="F463" i="10"/>
  <c r="G463" i="10"/>
  <c r="H463" i="10"/>
  <c r="I463" i="10"/>
  <c r="A464" i="10"/>
  <c r="B464" i="10"/>
  <c r="C464" i="10"/>
  <c r="D464" i="10"/>
  <c r="E464" i="10"/>
  <c r="F464" i="10"/>
  <c r="G464" i="10"/>
  <c r="H464" i="10"/>
  <c r="I464" i="10"/>
  <c r="A465" i="10"/>
  <c r="B465" i="10"/>
  <c r="C465" i="10"/>
  <c r="D465" i="10"/>
  <c r="E465" i="10"/>
  <c r="F465" i="10"/>
  <c r="G465" i="10"/>
  <c r="H465" i="10"/>
  <c r="I465" i="10"/>
  <c r="A466" i="10"/>
  <c r="B466" i="10"/>
  <c r="C466" i="10"/>
  <c r="D466" i="10"/>
  <c r="E466" i="10"/>
  <c r="F466" i="10"/>
  <c r="G466" i="10"/>
  <c r="H466" i="10"/>
  <c r="I466" i="10"/>
  <c r="A467" i="10"/>
  <c r="B467" i="10"/>
  <c r="C467" i="10"/>
  <c r="D467" i="10"/>
  <c r="E467" i="10"/>
  <c r="F467" i="10"/>
  <c r="G467" i="10"/>
  <c r="H467" i="10"/>
  <c r="I467" i="10"/>
  <c r="A468" i="10"/>
  <c r="B468" i="10"/>
  <c r="C468" i="10"/>
  <c r="D468" i="10"/>
  <c r="E468" i="10"/>
  <c r="F468" i="10"/>
  <c r="G468" i="10"/>
  <c r="H468" i="10"/>
  <c r="I468" i="10"/>
  <c r="A469" i="10"/>
  <c r="B469" i="10"/>
  <c r="C469" i="10"/>
  <c r="D469" i="10"/>
  <c r="E469" i="10"/>
  <c r="F469" i="10"/>
  <c r="G469" i="10"/>
  <c r="H469" i="10"/>
  <c r="I469" i="10"/>
  <c r="A470" i="10"/>
  <c r="B470" i="10"/>
  <c r="C470" i="10"/>
  <c r="D470" i="10"/>
  <c r="E470" i="10"/>
  <c r="F470" i="10"/>
  <c r="G470" i="10"/>
  <c r="H470" i="10"/>
  <c r="I470" i="10"/>
  <c r="A471" i="10"/>
  <c r="B471" i="10"/>
  <c r="C471" i="10"/>
  <c r="D471" i="10"/>
  <c r="E471" i="10"/>
  <c r="F471" i="10"/>
  <c r="G471" i="10"/>
  <c r="H471" i="10"/>
  <c r="I471" i="10"/>
  <c r="A472" i="10"/>
  <c r="B472" i="10"/>
  <c r="C472" i="10"/>
  <c r="D472" i="10"/>
  <c r="E472" i="10"/>
  <c r="F472" i="10"/>
  <c r="G472" i="10"/>
  <c r="H472" i="10"/>
  <c r="I472" i="10"/>
  <c r="A473" i="10"/>
  <c r="B473" i="10"/>
  <c r="C473" i="10"/>
  <c r="D473" i="10"/>
  <c r="E473" i="10"/>
  <c r="F473" i="10"/>
  <c r="G473" i="10"/>
  <c r="H473" i="10"/>
  <c r="I473" i="10"/>
  <c r="A474" i="10"/>
  <c r="B474" i="10"/>
  <c r="C474" i="10"/>
  <c r="D474" i="10"/>
  <c r="E474" i="10"/>
  <c r="F474" i="10"/>
  <c r="G474" i="10"/>
  <c r="H474" i="10"/>
  <c r="I474" i="10"/>
  <c r="A475" i="10"/>
  <c r="B475" i="10"/>
  <c r="C475" i="10"/>
  <c r="D475" i="10"/>
  <c r="E475" i="10"/>
  <c r="F475" i="10"/>
  <c r="G475" i="10"/>
  <c r="H475" i="10"/>
  <c r="I475" i="10"/>
  <c r="A476" i="10"/>
  <c r="B476" i="10"/>
  <c r="C476" i="10"/>
  <c r="D476" i="10"/>
  <c r="E476" i="10"/>
  <c r="F476" i="10"/>
  <c r="G476" i="10"/>
  <c r="H476" i="10"/>
  <c r="I476" i="10"/>
  <c r="A477" i="10"/>
  <c r="B477" i="10"/>
  <c r="C477" i="10"/>
  <c r="D477" i="10"/>
  <c r="E477" i="10"/>
  <c r="F477" i="10"/>
  <c r="G477" i="10"/>
  <c r="H477" i="10"/>
  <c r="I477" i="10"/>
  <c r="A478" i="10"/>
  <c r="B478" i="10"/>
  <c r="C478" i="10"/>
  <c r="D478" i="10"/>
  <c r="E478" i="10"/>
  <c r="F478" i="10"/>
  <c r="G478" i="10"/>
  <c r="H478" i="10"/>
  <c r="I478" i="10"/>
  <c r="A479" i="10"/>
  <c r="B479" i="10"/>
  <c r="C479" i="10"/>
  <c r="D479" i="10"/>
  <c r="E479" i="10"/>
  <c r="F479" i="10"/>
  <c r="G479" i="10"/>
  <c r="H479" i="10"/>
  <c r="I479" i="10"/>
  <c r="A480" i="10"/>
  <c r="B480" i="10"/>
  <c r="C480" i="10"/>
  <c r="D480" i="10"/>
  <c r="E480" i="10"/>
  <c r="F480" i="10"/>
  <c r="G480" i="10"/>
  <c r="H480" i="10"/>
  <c r="I480" i="10"/>
  <c r="A481" i="10"/>
  <c r="B481" i="10"/>
  <c r="C481" i="10"/>
  <c r="D481" i="10"/>
  <c r="E481" i="10"/>
  <c r="F481" i="10"/>
  <c r="G481" i="10"/>
  <c r="H481" i="10"/>
  <c r="I481" i="10"/>
  <c r="A482" i="10"/>
  <c r="B482" i="10"/>
  <c r="C482" i="10"/>
  <c r="D482" i="10"/>
  <c r="E482" i="10"/>
  <c r="F482" i="10"/>
  <c r="G482" i="10"/>
  <c r="H482" i="10"/>
  <c r="I482" i="10"/>
  <c r="A483" i="10"/>
  <c r="B483" i="10"/>
  <c r="C483" i="10"/>
  <c r="D483" i="10"/>
  <c r="E483" i="10"/>
  <c r="F483" i="10"/>
  <c r="G483" i="10"/>
  <c r="H483" i="10"/>
  <c r="I483" i="10"/>
  <c r="A484" i="10"/>
  <c r="B484" i="10"/>
  <c r="C484" i="10"/>
  <c r="D484" i="10"/>
  <c r="E484" i="10"/>
  <c r="F484" i="10"/>
  <c r="G484" i="10"/>
  <c r="H484" i="10"/>
  <c r="I484" i="10"/>
  <c r="A485" i="10"/>
  <c r="B485" i="10"/>
  <c r="C485" i="10"/>
  <c r="D485" i="10"/>
  <c r="E485" i="10"/>
  <c r="F485" i="10"/>
  <c r="G485" i="10"/>
  <c r="H485" i="10"/>
  <c r="I485" i="10"/>
  <c r="A486" i="10"/>
  <c r="B486" i="10"/>
  <c r="C486" i="10"/>
  <c r="D486" i="10"/>
  <c r="E486" i="10"/>
  <c r="F486" i="10"/>
  <c r="G486" i="10"/>
  <c r="H486" i="10"/>
  <c r="I486" i="10"/>
  <c r="A487" i="10"/>
  <c r="B487" i="10"/>
  <c r="C487" i="10"/>
  <c r="D487" i="10"/>
  <c r="E487" i="10"/>
  <c r="F487" i="10"/>
  <c r="G487" i="10"/>
  <c r="H487" i="10"/>
  <c r="I487" i="10"/>
  <c r="A488" i="10"/>
  <c r="B488" i="10"/>
  <c r="C488" i="10"/>
  <c r="D488" i="10"/>
  <c r="E488" i="10"/>
  <c r="F488" i="10"/>
  <c r="G488" i="10"/>
  <c r="H488" i="10"/>
  <c r="I488" i="10"/>
  <c r="A489" i="10"/>
  <c r="B489" i="10"/>
  <c r="C489" i="10"/>
  <c r="D489" i="10"/>
  <c r="E489" i="10"/>
  <c r="F489" i="10"/>
  <c r="G489" i="10"/>
  <c r="H489" i="10"/>
  <c r="I489" i="10"/>
  <c r="A490" i="10"/>
  <c r="B490" i="10"/>
  <c r="C490" i="10"/>
  <c r="D490" i="10"/>
  <c r="E490" i="10"/>
  <c r="F490" i="10"/>
  <c r="G490" i="10"/>
  <c r="H490" i="10"/>
  <c r="I490" i="10"/>
  <c r="A491" i="10"/>
  <c r="B491" i="10"/>
  <c r="C491" i="10"/>
  <c r="D491" i="10"/>
  <c r="E491" i="10"/>
  <c r="F491" i="10"/>
  <c r="G491" i="10"/>
  <c r="H491" i="10"/>
  <c r="I491" i="10"/>
  <c r="A492" i="10"/>
  <c r="B492" i="10"/>
  <c r="C492" i="10"/>
  <c r="D492" i="10"/>
  <c r="E492" i="10"/>
  <c r="F492" i="10"/>
  <c r="G492" i="10"/>
  <c r="H492" i="10"/>
  <c r="I492" i="10"/>
  <c r="A493" i="10"/>
  <c r="B493" i="10"/>
  <c r="C493" i="10"/>
  <c r="D493" i="10"/>
  <c r="E493" i="10"/>
  <c r="F493" i="10"/>
  <c r="G493" i="10"/>
  <c r="H493" i="10"/>
  <c r="I493" i="10"/>
  <c r="A494" i="10"/>
  <c r="B494" i="10"/>
  <c r="C494" i="10"/>
  <c r="D494" i="10"/>
  <c r="E494" i="10"/>
  <c r="F494" i="10"/>
  <c r="G494" i="10"/>
  <c r="H494" i="10"/>
  <c r="I494" i="10"/>
  <c r="A495" i="10"/>
  <c r="B495" i="10"/>
  <c r="C495" i="10"/>
  <c r="D495" i="10"/>
  <c r="E495" i="10"/>
  <c r="F495" i="10"/>
  <c r="G495" i="10"/>
  <c r="H495" i="10"/>
  <c r="I495" i="10"/>
  <c r="A496" i="10"/>
  <c r="B496" i="10"/>
  <c r="C496" i="10"/>
  <c r="D496" i="10"/>
  <c r="E496" i="10"/>
  <c r="F496" i="10"/>
  <c r="G496" i="10"/>
  <c r="H496" i="10"/>
  <c r="I496" i="10"/>
  <c r="A497" i="10"/>
  <c r="B497" i="10"/>
  <c r="C497" i="10"/>
  <c r="D497" i="10"/>
  <c r="E497" i="10"/>
  <c r="F497" i="10"/>
  <c r="G497" i="10"/>
  <c r="H497" i="10"/>
  <c r="I497" i="10"/>
  <c r="A498" i="10"/>
  <c r="B498" i="10"/>
  <c r="C498" i="10"/>
  <c r="D498" i="10"/>
  <c r="E498" i="10"/>
  <c r="F498" i="10"/>
  <c r="G498" i="10"/>
  <c r="H498" i="10"/>
  <c r="I498" i="10"/>
  <c r="A499" i="10"/>
  <c r="B499" i="10"/>
  <c r="C499" i="10"/>
  <c r="D499" i="10"/>
  <c r="E499" i="10"/>
  <c r="F499" i="10"/>
  <c r="G499" i="10"/>
  <c r="H499" i="10"/>
  <c r="I499" i="10"/>
  <c r="A500" i="10"/>
  <c r="B500" i="10"/>
  <c r="C500" i="10"/>
  <c r="D500" i="10"/>
  <c r="E500" i="10"/>
  <c r="F500" i="10"/>
  <c r="G500" i="10"/>
  <c r="H500" i="10"/>
  <c r="I500" i="10"/>
  <c r="A501" i="10"/>
  <c r="B501" i="10"/>
  <c r="C501" i="10"/>
  <c r="D501" i="10"/>
  <c r="E501" i="10"/>
  <c r="F501" i="10"/>
  <c r="G501" i="10"/>
  <c r="H501" i="10"/>
  <c r="I501" i="10"/>
  <c r="A169" i="10"/>
  <c r="B169" i="10"/>
  <c r="C169" i="10"/>
  <c r="D169" i="10"/>
  <c r="E169" i="10"/>
  <c r="F169" i="10"/>
  <c r="G169" i="10"/>
  <c r="H169" i="10"/>
  <c r="I169" i="10"/>
  <c r="A170" i="10"/>
  <c r="B170" i="10"/>
  <c r="C170" i="10"/>
  <c r="D170" i="10"/>
  <c r="E170" i="10"/>
  <c r="F170" i="10"/>
  <c r="G170" i="10"/>
  <c r="H170" i="10"/>
  <c r="I170" i="10"/>
  <c r="A171" i="10"/>
  <c r="B171" i="10"/>
  <c r="C171" i="10"/>
  <c r="D171" i="10"/>
  <c r="E171" i="10"/>
  <c r="F171" i="10"/>
  <c r="G171" i="10"/>
  <c r="H171" i="10"/>
  <c r="I171" i="10"/>
  <c r="A172" i="10"/>
  <c r="B172" i="10"/>
  <c r="C172" i="10"/>
  <c r="D172" i="10"/>
  <c r="E172" i="10"/>
  <c r="F172" i="10"/>
  <c r="G172" i="10"/>
  <c r="H172" i="10"/>
  <c r="I172" i="10"/>
  <c r="A173" i="10"/>
  <c r="B173" i="10"/>
  <c r="C173" i="10"/>
  <c r="D173" i="10"/>
  <c r="E173" i="10"/>
  <c r="F173" i="10"/>
  <c r="G173" i="10"/>
  <c r="H173" i="10"/>
  <c r="I173" i="10"/>
  <c r="A174" i="10"/>
  <c r="B174" i="10"/>
  <c r="C174" i="10"/>
  <c r="D174" i="10"/>
  <c r="E174" i="10"/>
  <c r="F174" i="10"/>
  <c r="G174" i="10"/>
  <c r="H174" i="10"/>
  <c r="I174" i="10"/>
  <c r="A175" i="10"/>
  <c r="B175" i="10"/>
  <c r="C175" i="10"/>
  <c r="D175" i="10"/>
  <c r="E175" i="10"/>
  <c r="F175" i="10"/>
  <c r="G175" i="10"/>
  <c r="H175" i="10"/>
  <c r="I175" i="10"/>
  <c r="A176" i="10"/>
  <c r="B176" i="10"/>
  <c r="C176" i="10"/>
  <c r="D176" i="10"/>
  <c r="E176" i="10"/>
  <c r="F176" i="10"/>
  <c r="G176" i="10"/>
  <c r="H176" i="10"/>
  <c r="I176" i="10"/>
  <c r="A177" i="10"/>
  <c r="B177" i="10"/>
  <c r="C177" i="10"/>
  <c r="D177" i="10"/>
  <c r="E177" i="10"/>
  <c r="F177" i="10"/>
  <c r="G177" i="10"/>
  <c r="H177" i="10"/>
  <c r="I177" i="10"/>
  <c r="A178" i="10"/>
  <c r="B178" i="10"/>
  <c r="C178" i="10"/>
  <c r="D178" i="10"/>
  <c r="E178" i="10"/>
  <c r="F178" i="10"/>
  <c r="G178" i="10"/>
  <c r="H178" i="10"/>
  <c r="I178" i="10"/>
  <c r="A179" i="10"/>
  <c r="B179" i="10"/>
  <c r="C179" i="10"/>
  <c r="D179" i="10"/>
  <c r="E179" i="10"/>
  <c r="F179" i="10"/>
  <c r="G179" i="10"/>
  <c r="H179" i="10"/>
  <c r="I179" i="10"/>
  <c r="A180" i="10"/>
  <c r="B180" i="10"/>
  <c r="C180" i="10"/>
  <c r="D180" i="10"/>
  <c r="E180" i="10"/>
  <c r="F180" i="10"/>
  <c r="G180" i="10"/>
  <c r="H180" i="10"/>
  <c r="I180" i="10"/>
  <c r="A181" i="10"/>
  <c r="B181" i="10"/>
  <c r="C181" i="10"/>
  <c r="D181" i="10"/>
  <c r="E181" i="10"/>
  <c r="F181" i="10"/>
  <c r="G181" i="10"/>
  <c r="H181" i="10"/>
  <c r="I181" i="10"/>
  <c r="A182" i="10"/>
  <c r="B182" i="10"/>
  <c r="C182" i="10"/>
  <c r="D182" i="10"/>
  <c r="E182" i="10"/>
  <c r="F182" i="10"/>
  <c r="G182" i="10"/>
  <c r="H182" i="10"/>
  <c r="I182" i="10"/>
  <c r="A183" i="10"/>
  <c r="B183" i="10"/>
  <c r="C183" i="10"/>
  <c r="D183" i="10"/>
  <c r="E183" i="10"/>
  <c r="F183" i="10"/>
  <c r="G183" i="10"/>
  <c r="H183" i="10"/>
  <c r="I183" i="10"/>
  <c r="A184" i="10"/>
  <c r="B184" i="10"/>
  <c r="C184" i="10"/>
  <c r="D184" i="10"/>
  <c r="E184" i="10"/>
  <c r="F184" i="10"/>
  <c r="G184" i="10"/>
  <c r="H184" i="10"/>
  <c r="I184" i="10"/>
  <c r="A185" i="10"/>
  <c r="B185" i="10"/>
  <c r="C185" i="10"/>
  <c r="D185" i="10"/>
  <c r="E185" i="10"/>
  <c r="F185" i="10"/>
  <c r="G185" i="10"/>
  <c r="H185" i="10"/>
  <c r="I185" i="10"/>
  <c r="A186" i="10"/>
  <c r="B186" i="10"/>
  <c r="C186" i="10"/>
  <c r="D186" i="10"/>
  <c r="E186" i="10"/>
  <c r="F186" i="10"/>
  <c r="G186" i="10"/>
  <c r="H186" i="10"/>
  <c r="I186" i="10"/>
  <c r="A187" i="10"/>
  <c r="B187" i="10"/>
  <c r="C187" i="10"/>
  <c r="D187" i="10"/>
  <c r="E187" i="10"/>
  <c r="F187" i="10"/>
  <c r="G187" i="10"/>
  <c r="H187" i="10"/>
  <c r="I187" i="10"/>
  <c r="A188" i="10"/>
  <c r="B188" i="10"/>
  <c r="C188" i="10"/>
  <c r="D188" i="10"/>
  <c r="E188" i="10"/>
  <c r="F188" i="10"/>
  <c r="G188" i="10"/>
  <c r="H188" i="10"/>
  <c r="I188" i="10"/>
  <c r="A189" i="10"/>
  <c r="B189" i="10"/>
  <c r="C189" i="10"/>
  <c r="D189" i="10"/>
  <c r="E189" i="10"/>
  <c r="F189" i="10"/>
  <c r="G189" i="10"/>
  <c r="H189" i="10"/>
  <c r="I189" i="10"/>
  <c r="A190" i="10"/>
  <c r="B190" i="10"/>
  <c r="C190" i="10"/>
  <c r="D190" i="10"/>
  <c r="E190" i="10"/>
  <c r="F190" i="10"/>
  <c r="G190" i="10"/>
  <c r="H190" i="10"/>
  <c r="I190" i="10"/>
  <c r="A191" i="10"/>
  <c r="B191" i="10"/>
  <c r="C191" i="10"/>
  <c r="D191" i="10"/>
  <c r="E191" i="10"/>
  <c r="F191" i="10"/>
  <c r="G191" i="10"/>
  <c r="H191" i="10"/>
  <c r="I191" i="10"/>
  <c r="A192" i="10"/>
  <c r="B192" i="10"/>
  <c r="C192" i="10"/>
  <c r="D192" i="10"/>
  <c r="E192" i="10"/>
  <c r="F192" i="10"/>
  <c r="G192" i="10"/>
  <c r="H192" i="10"/>
  <c r="I192" i="10"/>
  <c r="A193" i="10"/>
  <c r="B193" i="10"/>
  <c r="C193" i="10"/>
  <c r="D193" i="10"/>
  <c r="E193" i="10"/>
  <c r="F193" i="10"/>
  <c r="G193" i="10"/>
  <c r="H193" i="10"/>
  <c r="I193" i="10"/>
  <c r="A194" i="10"/>
  <c r="B194" i="10"/>
  <c r="C194" i="10"/>
  <c r="D194" i="10"/>
  <c r="E194" i="10"/>
  <c r="F194" i="10"/>
  <c r="G194" i="10"/>
  <c r="H194" i="10"/>
  <c r="I194" i="10"/>
  <c r="A195" i="10"/>
  <c r="B195" i="10"/>
  <c r="C195" i="10"/>
  <c r="D195" i="10"/>
  <c r="E195" i="10"/>
  <c r="F195" i="10"/>
  <c r="G195" i="10"/>
  <c r="H195" i="10"/>
  <c r="I195" i="10"/>
  <c r="A196" i="10"/>
  <c r="B196" i="10"/>
  <c r="C196" i="10"/>
  <c r="D196" i="10"/>
  <c r="E196" i="10"/>
  <c r="F196" i="10"/>
  <c r="G196" i="10"/>
  <c r="H196" i="10"/>
  <c r="I196" i="10"/>
  <c r="A197" i="10"/>
  <c r="B197" i="10"/>
  <c r="C197" i="10"/>
  <c r="D197" i="10"/>
  <c r="E197" i="10"/>
  <c r="F197" i="10"/>
  <c r="G197" i="10"/>
  <c r="H197" i="10"/>
  <c r="I197" i="10"/>
  <c r="A198" i="10"/>
  <c r="B198" i="10"/>
  <c r="C198" i="10"/>
  <c r="D198" i="10"/>
  <c r="E198" i="10"/>
  <c r="F198" i="10"/>
  <c r="G198" i="10"/>
  <c r="H198" i="10"/>
  <c r="I198" i="10"/>
  <c r="A199" i="10"/>
  <c r="B199" i="10"/>
  <c r="C199" i="10"/>
  <c r="D199" i="10"/>
  <c r="E199" i="10"/>
  <c r="F199" i="10"/>
  <c r="G199" i="10"/>
  <c r="H199" i="10"/>
  <c r="I199" i="10"/>
  <c r="A200" i="10"/>
  <c r="B200" i="10"/>
  <c r="C200" i="10"/>
  <c r="D200" i="10"/>
  <c r="E200" i="10"/>
  <c r="F200" i="10"/>
  <c r="G200" i="10"/>
  <c r="H200" i="10"/>
  <c r="I200" i="10"/>
  <c r="A201" i="10"/>
  <c r="B201" i="10"/>
  <c r="C201" i="10"/>
  <c r="D201" i="10"/>
  <c r="E201" i="10"/>
  <c r="F201" i="10"/>
  <c r="G201" i="10"/>
  <c r="H201" i="10"/>
  <c r="I201" i="10"/>
  <c r="A202" i="10"/>
  <c r="B202" i="10"/>
  <c r="C202" i="10"/>
  <c r="D202" i="10"/>
  <c r="E202" i="10"/>
  <c r="F202" i="10"/>
  <c r="G202" i="10"/>
  <c r="H202" i="10"/>
  <c r="I202" i="10"/>
  <c r="A203" i="10"/>
  <c r="B203" i="10"/>
  <c r="C203" i="10"/>
  <c r="D203" i="10"/>
  <c r="E203" i="10"/>
  <c r="F203" i="10"/>
  <c r="G203" i="10"/>
  <c r="H203" i="10"/>
  <c r="I203" i="10"/>
  <c r="A204" i="10"/>
  <c r="B204" i="10"/>
  <c r="C204" i="10"/>
  <c r="D204" i="10"/>
  <c r="E204" i="10"/>
  <c r="F204" i="10"/>
  <c r="G204" i="10"/>
  <c r="H204" i="10"/>
  <c r="I204" i="10"/>
  <c r="A205" i="10"/>
  <c r="B205" i="10"/>
  <c r="C205" i="10"/>
  <c r="D205" i="10"/>
  <c r="E205" i="10"/>
  <c r="F205" i="10"/>
  <c r="G205" i="10"/>
  <c r="H205" i="10"/>
  <c r="I205" i="10"/>
  <c r="A206" i="10"/>
  <c r="B206" i="10"/>
  <c r="C206" i="10"/>
  <c r="D206" i="10"/>
  <c r="E206" i="10"/>
  <c r="F206" i="10"/>
  <c r="G206" i="10"/>
  <c r="H206" i="10"/>
  <c r="I206" i="10"/>
  <c r="A207" i="10"/>
  <c r="B207" i="10"/>
  <c r="C207" i="10"/>
  <c r="D207" i="10"/>
  <c r="E207" i="10"/>
  <c r="F207" i="10"/>
  <c r="G207" i="10"/>
  <c r="H207" i="10"/>
  <c r="I207" i="10"/>
  <c r="A208" i="10"/>
  <c r="B208" i="10"/>
  <c r="C208" i="10"/>
  <c r="D208" i="10"/>
  <c r="E208" i="10"/>
  <c r="F208" i="10"/>
  <c r="G208" i="10"/>
  <c r="H208" i="10"/>
  <c r="I208" i="10"/>
  <c r="A209" i="10"/>
  <c r="B209" i="10"/>
  <c r="C209" i="10"/>
  <c r="D209" i="10"/>
  <c r="E209" i="10"/>
  <c r="F209" i="10"/>
  <c r="G209" i="10"/>
  <c r="H209" i="10"/>
  <c r="I209" i="10"/>
  <c r="A210" i="10"/>
  <c r="B210" i="10"/>
  <c r="C210" i="10"/>
  <c r="D210" i="10"/>
  <c r="E210" i="10"/>
  <c r="F210" i="10"/>
  <c r="G210" i="10"/>
  <c r="H210" i="10"/>
  <c r="I210" i="10"/>
  <c r="A211" i="10"/>
  <c r="B211" i="10"/>
  <c r="C211" i="10"/>
  <c r="D211" i="10"/>
  <c r="E211" i="10"/>
  <c r="F211" i="10"/>
  <c r="G211" i="10"/>
  <c r="H211" i="10"/>
  <c r="I211" i="10"/>
  <c r="A212" i="10"/>
  <c r="B212" i="10"/>
  <c r="C212" i="10"/>
  <c r="D212" i="10"/>
  <c r="E212" i="10"/>
  <c r="F212" i="10"/>
  <c r="G212" i="10"/>
  <c r="H212" i="10"/>
  <c r="I212" i="10"/>
  <c r="A213" i="10"/>
  <c r="B213" i="10"/>
  <c r="C213" i="10"/>
  <c r="D213" i="10"/>
  <c r="E213" i="10"/>
  <c r="F213" i="10"/>
  <c r="G213" i="10"/>
  <c r="H213" i="10"/>
  <c r="I213" i="10"/>
  <c r="A214" i="10"/>
  <c r="B214" i="10"/>
  <c r="C214" i="10"/>
  <c r="D214" i="10"/>
  <c r="E214" i="10"/>
  <c r="F214" i="10"/>
  <c r="G214" i="10"/>
  <c r="H214" i="10"/>
  <c r="I214" i="10"/>
  <c r="A215" i="10"/>
  <c r="B215" i="10"/>
  <c r="C215" i="10"/>
  <c r="D215" i="10"/>
  <c r="E215" i="10"/>
  <c r="F215" i="10"/>
  <c r="G215" i="10"/>
  <c r="H215" i="10"/>
  <c r="I215" i="10"/>
  <c r="A216" i="10"/>
  <c r="B216" i="10"/>
  <c r="C216" i="10"/>
  <c r="D216" i="10"/>
  <c r="E216" i="10"/>
  <c r="F216" i="10"/>
  <c r="G216" i="10"/>
  <c r="H216" i="10"/>
  <c r="I216" i="10"/>
  <c r="A217" i="10"/>
  <c r="B217" i="10"/>
  <c r="C217" i="10"/>
  <c r="D217" i="10"/>
  <c r="E217" i="10"/>
  <c r="F217" i="10"/>
  <c r="G217" i="10"/>
  <c r="H217" i="10"/>
  <c r="I217" i="10"/>
  <c r="A218" i="10"/>
  <c r="B218" i="10"/>
  <c r="C218" i="10"/>
  <c r="D218" i="10"/>
  <c r="E218" i="10"/>
  <c r="F218" i="10"/>
  <c r="G218" i="10"/>
  <c r="H218" i="10"/>
  <c r="I218" i="10"/>
  <c r="A219" i="10"/>
  <c r="B219" i="10"/>
  <c r="C219" i="10"/>
  <c r="D219" i="10"/>
  <c r="E219" i="10"/>
  <c r="F219" i="10"/>
  <c r="G219" i="10"/>
  <c r="H219" i="10"/>
  <c r="I219" i="10"/>
  <c r="A220" i="10"/>
  <c r="B220" i="10"/>
  <c r="C220" i="10"/>
  <c r="D220" i="10"/>
  <c r="E220" i="10"/>
  <c r="F220" i="10"/>
  <c r="G220" i="10"/>
  <c r="H220" i="10"/>
  <c r="I220" i="10"/>
  <c r="A221" i="10"/>
  <c r="B221" i="10"/>
  <c r="C221" i="10"/>
  <c r="D221" i="10"/>
  <c r="E221" i="10"/>
  <c r="F221" i="10"/>
  <c r="G221" i="10"/>
  <c r="H221" i="10"/>
  <c r="I221" i="10"/>
  <c r="A222" i="10"/>
  <c r="B222" i="10"/>
  <c r="C222" i="10"/>
  <c r="D222" i="10"/>
  <c r="E222" i="10"/>
  <c r="F222" i="10"/>
  <c r="G222" i="10"/>
  <c r="H222" i="10"/>
  <c r="I222" i="10"/>
  <c r="A223" i="10"/>
  <c r="B223" i="10"/>
  <c r="C223" i="10"/>
  <c r="D223" i="10"/>
  <c r="E223" i="10"/>
  <c r="F223" i="10"/>
  <c r="G223" i="10"/>
  <c r="H223" i="10"/>
  <c r="I223" i="10"/>
  <c r="A224" i="10"/>
  <c r="B224" i="10"/>
  <c r="C224" i="10"/>
  <c r="D224" i="10"/>
  <c r="E224" i="10"/>
  <c r="F224" i="10"/>
  <c r="G224" i="10"/>
  <c r="H224" i="10"/>
  <c r="I224" i="10"/>
  <c r="A225" i="10"/>
  <c r="B225" i="10"/>
  <c r="C225" i="10"/>
  <c r="D225" i="10"/>
  <c r="E225" i="10"/>
  <c r="F225" i="10"/>
  <c r="G225" i="10"/>
  <c r="H225" i="10"/>
  <c r="I225" i="10"/>
  <c r="A226" i="10"/>
  <c r="B226" i="10"/>
  <c r="C226" i="10"/>
  <c r="D226" i="10"/>
  <c r="E226" i="10"/>
  <c r="F226" i="10"/>
  <c r="G226" i="10"/>
  <c r="H226" i="10"/>
  <c r="I226" i="10"/>
  <c r="A227" i="10"/>
  <c r="B227" i="10"/>
  <c r="C227" i="10"/>
  <c r="D227" i="10"/>
  <c r="E227" i="10"/>
  <c r="F227" i="10"/>
  <c r="G227" i="10"/>
  <c r="H227" i="10"/>
  <c r="I227" i="10"/>
  <c r="A228" i="10"/>
  <c r="B228" i="10"/>
  <c r="C228" i="10"/>
  <c r="D228" i="10"/>
  <c r="E228" i="10"/>
  <c r="F228" i="10"/>
  <c r="G228" i="10"/>
  <c r="H228" i="10"/>
  <c r="I228" i="10"/>
  <c r="A229" i="10"/>
  <c r="B229" i="10"/>
  <c r="C229" i="10"/>
  <c r="D229" i="10"/>
  <c r="E229" i="10"/>
  <c r="F229" i="10"/>
  <c r="G229" i="10"/>
  <c r="H229" i="10"/>
  <c r="I229" i="10"/>
  <c r="A230" i="10"/>
  <c r="B230" i="10"/>
  <c r="C230" i="10"/>
  <c r="D230" i="10"/>
  <c r="E230" i="10"/>
  <c r="F230" i="10"/>
  <c r="G230" i="10"/>
  <c r="H230" i="10"/>
  <c r="I230" i="10"/>
  <c r="A231" i="10"/>
  <c r="B231" i="10"/>
  <c r="C231" i="10"/>
  <c r="D231" i="10"/>
  <c r="E231" i="10"/>
  <c r="F231" i="10"/>
  <c r="G231" i="10"/>
  <c r="H231" i="10"/>
  <c r="I231" i="10"/>
  <c r="A232" i="10"/>
  <c r="B232" i="10"/>
  <c r="C232" i="10"/>
  <c r="D232" i="10"/>
  <c r="E232" i="10"/>
  <c r="F232" i="10"/>
  <c r="G232" i="10"/>
  <c r="H232" i="10"/>
  <c r="I232" i="10"/>
  <c r="A233" i="10"/>
  <c r="B233" i="10"/>
  <c r="C233" i="10"/>
  <c r="D233" i="10"/>
  <c r="E233" i="10"/>
  <c r="F233" i="10"/>
  <c r="G233" i="10"/>
  <c r="H233" i="10"/>
  <c r="I233" i="10"/>
  <c r="A234" i="10"/>
  <c r="B234" i="10"/>
  <c r="C234" i="10"/>
  <c r="D234" i="10"/>
  <c r="E234" i="10"/>
  <c r="F234" i="10"/>
  <c r="G234" i="10"/>
  <c r="H234" i="10"/>
  <c r="I234" i="10"/>
  <c r="A235" i="10"/>
  <c r="B235" i="10"/>
  <c r="C235" i="10"/>
  <c r="D235" i="10"/>
  <c r="E235" i="10"/>
  <c r="F235" i="10"/>
  <c r="G235" i="10"/>
  <c r="H235" i="10"/>
  <c r="I235" i="10"/>
  <c r="A236" i="10"/>
  <c r="B236" i="10"/>
  <c r="C236" i="10"/>
  <c r="D236" i="10"/>
  <c r="E236" i="10"/>
  <c r="F236" i="10"/>
  <c r="G236" i="10"/>
  <c r="H236" i="10"/>
  <c r="I236" i="10"/>
  <c r="A237" i="10"/>
  <c r="B237" i="10"/>
  <c r="C237" i="10"/>
  <c r="D237" i="10"/>
  <c r="E237" i="10"/>
  <c r="F237" i="10"/>
  <c r="G237" i="10"/>
  <c r="H237" i="10"/>
  <c r="I237" i="10"/>
  <c r="A238" i="10"/>
  <c r="B238" i="10"/>
  <c r="C238" i="10"/>
  <c r="D238" i="10"/>
  <c r="E238" i="10"/>
  <c r="F238" i="10"/>
  <c r="G238" i="10"/>
  <c r="H238" i="10"/>
  <c r="I238" i="10"/>
  <c r="A239" i="10"/>
  <c r="B239" i="10"/>
  <c r="C239" i="10"/>
  <c r="D239" i="10"/>
  <c r="E239" i="10"/>
  <c r="F239" i="10"/>
  <c r="G239" i="10"/>
  <c r="H239" i="10"/>
  <c r="I239" i="10"/>
  <c r="A240" i="10"/>
  <c r="B240" i="10"/>
  <c r="C240" i="10"/>
  <c r="D240" i="10"/>
  <c r="E240" i="10"/>
  <c r="F240" i="10"/>
  <c r="G240" i="10"/>
  <c r="H240" i="10"/>
  <c r="I240" i="10"/>
  <c r="A241" i="10"/>
  <c r="B241" i="10"/>
  <c r="C241" i="10"/>
  <c r="D241" i="10"/>
  <c r="E241" i="10"/>
  <c r="F241" i="10"/>
  <c r="G241" i="10"/>
  <c r="H241" i="10"/>
  <c r="I241" i="10"/>
  <c r="A242" i="10"/>
  <c r="B242" i="10"/>
  <c r="C242" i="10"/>
  <c r="D242" i="10"/>
  <c r="E242" i="10"/>
  <c r="F242" i="10"/>
  <c r="G242" i="10"/>
  <c r="H242" i="10"/>
  <c r="I242" i="10"/>
  <c r="A243" i="10"/>
  <c r="B243" i="10"/>
  <c r="C243" i="10"/>
  <c r="D243" i="10"/>
  <c r="E243" i="10"/>
  <c r="F243" i="10"/>
  <c r="G243" i="10"/>
  <c r="H243" i="10"/>
  <c r="I243" i="10"/>
  <c r="A244" i="10"/>
  <c r="B244" i="10"/>
  <c r="C244" i="10"/>
  <c r="D244" i="10"/>
  <c r="E244" i="10"/>
  <c r="F244" i="10"/>
  <c r="G244" i="10"/>
  <c r="H244" i="10"/>
  <c r="I244" i="10"/>
  <c r="A245" i="10"/>
  <c r="B245" i="10"/>
  <c r="C245" i="10"/>
  <c r="D245" i="10"/>
  <c r="E245" i="10"/>
  <c r="F245" i="10"/>
  <c r="G245" i="10"/>
  <c r="H245" i="10"/>
  <c r="I245" i="10"/>
  <c r="A246" i="10"/>
  <c r="B246" i="10"/>
  <c r="C246" i="10"/>
  <c r="D246" i="10"/>
  <c r="E246" i="10"/>
  <c r="F246" i="10"/>
  <c r="G246" i="10"/>
  <c r="H246" i="10"/>
  <c r="I246" i="10"/>
  <c r="A247" i="10"/>
  <c r="B247" i="10"/>
  <c r="C247" i="10"/>
  <c r="D247" i="10"/>
  <c r="E247" i="10"/>
  <c r="F247" i="10"/>
  <c r="G247" i="10"/>
  <c r="H247" i="10"/>
  <c r="I247" i="10"/>
  <c r="A248" i="10"/>
  <c r="B248" i="10"/>
  <c r="C248" i="10"/>
  <c r="D248" i="10"/>
  <c r="E248" i="10"/>
  <c r="F248" i="10"/>
  <c r="G248" i="10"/>
  <c r="H248" i="10"/>
  <c r="I248" i="10"/>
  <c r="A249" i="10"/>
  <c r="B249" i="10"/>
  <c r="C249" i="10"/>
  <c r="D249" i="10"/>
  <c r="E249" i="10"/>
  <c r="F249" i="10"/>
  <c r="G249" i="10"/>
  <c r="H249" i="10"/>
  <c r="I249" i="10"/>
  <c r="A250" i="10"/>
  <c r="B250" i="10"/>
  <c r="C250" i="10"/>
  <c r="D250" i="10"/>
  <c r="E250" i="10"/>
  <c r="F250" i="10"/>
  <c r="G250" i="10"/>
  <c r="H250" i="10"/>
  <c r="I250" i="10"/>
  <c r="A251" i="10"/>
  <c r="B251" i="10"/>
  <c r="C251" i="10"/>
  <c r="D251" i="10"/>
  <c r="E251" i="10"/>
  <c r="F251" i="10"/>
  <c r="G251" i="10"/>
  <c r="H251" i="10"/>
  <c r="I251" i="10"/>
  <c r="A252" i="10"/>
  <c r="B252" i="10"/>
  <c r="C252" i="10"/>
  <c r="D252" i="10"/>
  <c r="E252" i="10"/>
  <c r="F252" i="10"/>
  <c r="G252" i="10"/>
  <c r="H252" i="10"/>
  <c r="I252" i="10"/>
  <c r="A253" i="10"/>
  <c r="B253" i="10"/>
  <c r="C253" i="10"/>
  <c r="D253" i="10"/>
  <c r="E253" i="10"/>
  <c r="F253" i="10"/>
  <c r="G253" i="10"/>
  <c r="H253" i="10"/>
  <c r="I253" i="10"/>
  <c r="A254" i="10"/>
  <c r="B254" i="10"/>
  <c r="C254" i="10"/>
  <c r="D254" i="10"/>
  <c r="E254" i="10"/>
  <c r="F254" i="10"/>
  <c r="G254" i="10"/>
  <c r="H254" i="10"/>
  <c r="I254" i="10"/>
  <c r="A255" i="10"/>
  <c r="B255" i="10"/>
  <c r="C255" i="10"/>
  <c r="D255" i="10"/>
  <c r="E255" i="10"/>
  <c r="F255" i="10"/>
  <c r="G255" i="10"/>
  <c r="H255" i="10"/>
  <c r="I255" i="10"/>
  <c r="A256" i="10"/>
  <c r="B256" i="10"/>
  <c r="C256" i="10"/>
  <c r="D256" i="10"/>
  <c r="E256" i="10"/>
  <c r="F256" i="10"/>
  <c r="G256" i="10"/>
  <c r="H256" i="10"/>
  <c r="I256" i="10"/>
  <c r="A257" i="10"/>
  <c r="B257" i="10"/>
  <c r="C257" i="10"/>
  <c r="D257" i="10"/>
  <c r="E257" i="10"/>
  <c r="F257" i="10"/>
  <c r="G257" i="10"/>
  <c r="H257" i="10"/>
  <c r="I257" i="10"/>
  <c r="A258" i="10"/>
  <c r="B258" i="10"/>
  <c r="C258" i="10"/>
  <c r="D258" i="10"/>
  <c r="E258" i="10"/>
  <c r="F258" i="10"/>
  <c r="G258" i="10"/>
  <c r="H258" i="10"/>
  <c r="I258" i="10"/>
  <c r="A259" i="10"/>
  <c r="B259" i="10"/>
  <c r="C259" i="10"/>
  <c r="D259" i="10"/>
  <c r="E259" i="10"/>
  <c r="F259" i="10"/>
  <c r="G259" i="10"/>
  <c r="H259" i="10"/>
  <c r="I259" i="10"/>
  <c r="A260" i="10"/>
  <c r="B260" i="10"/>
  <c r="C260" i="10"/>
  <c r="D260" i="10"/>
  <c r="E260" i="10"/>
  <c r="F260" i="10"/>
  <c r="G260" i="10"/>
  <c r="H260" i="10"/>
  <c r="I260" i="10"/>
  <c r="A261" i="10"/>
  <c r="B261" i="10"/>
  <c r="C261" i="10"/>
  <c r="D261" i="10"/>
  <c r="E261" i="10"/>
  <c r="F261" i="10"/>
  <c r="G261" i="10"/>
  <c r="H261" i="10"/>
  <c r="I261" i="10"/>
  <c r="A262" i="10"/>
  <c r="B262" i="10"/>
  <c r="C262" i="10"/>
  <c r="D262" i="10"/>
  <c r="E262" i="10"/>
  <c r="F262" i="10"/>
  <c r="G262" i="10"/>
  <c r="H262" i="10"/>
  <c r="I262" i="10"/>
  <c r="A263" i="10"/>
  <c r="B263" i="10"/>
  <c r="C263" i="10"/>
  <c r="D263" i="10"/>
  <c r="E263" i="10"/>
  <c r="F263" i="10"/>
  <c r="G263" i="10"/>
  <c r="H263" i="10"/>
  <c r="I263" i="10"/>
  <c r="A264" i="10"/>
  <c r="B264" i="10"/>
  <c r="C264" i="10"/>
  <c r="D264" i="10"/>
  <c r="E264" i="10"/>
  <c r="F264" i="10"/>
  <c r="G264" i="10"/>
  <c r="H264" i="10"/>
  <c r="I264" i="10"/>
  <c r="A265" i="10"/>
  <c r="B265" i="10"/>
  <c r="C265" i="10"/>
  <c r="D265" i="10"/>
  <c r="E265" i="10"/>
  <c r="F265" i="10"/>
  <c r="G265" i="10"/>
  <c r="H265" i="10"/>
  <c r="I265" i="10"/>
  <c r="A266" i="10"/>
  <c r="B266" i="10"/>
  <c r="C266" i="10"/>
  <c r="D266" i="10"/>
  <c r="E266" i="10"/>
  <c r="F266" i="10"/>
  <c r="G266" i="10"/>
  <c r="H266" i="10"/>
  <c r="I266" i="10"/>
  <c r="A267" i="10"/>
  <c r="B267" i="10"/>
  <c r="C267" i="10"/>
  <c r="D267" i="10"/>
  <c r="E267" i="10"/>
  <c r="F267" i="10"/>
  <c r="G267" i="10"/>
  <c r="H267" i="10"/>
  <c r="I267" i="10"/>
  <c r="A268" i="10"/>
  <c r="B268" i="10"/>
  <c r="C268" i="10"/>
  <c r="D268" i="10"/>
  <c r="E268" i="10"/>
  <c r="F268" i="10"/>
  <c r="G268" i="10"/>
  <c r="H268" i="10"/>
  <c r="I268" i="10"/>
  <c r="A269" i="10"/>
  <c r="B269" i="10"/>
  <c r="C269" i="10"/>
  <c r="D269" i="10"/>
  <c r="E269" i="10"/>
  <c r="F269" i="10"/>
  <c r="G269" i="10"/>
  <c r="H269" i="10"/>
  <c r="I269" i="10"/>
  <c r="A270" i="10"/>
  <c r="B270" i="10"/>
  <c r="C270" i="10"/>
  <c r="D270" i="10"/>
  <c r="E270" i="10"/>
  <c r="F270" i="10"/>
  <c r="G270" i="10"/>
  <c r="H270" i="10"/>
  <c r="I270" i="10"/>
  <c r="A271" i="10"/>
  <c r="B271" i="10"/>
  <c r="C271" i="10"/>
  <c r="D271" i="10"/>
  <c r="E271" i="10"/>
  <c r="F271" i="10"/>
  <c r="G271" i="10"/>
  <c r="H271" i="10"/>
  <c r="I271" i="10"/>
  <c r="A272" i="10"/>
  <c r="B272" i="10"/>
  <c r="C272" i="10"/>
  <c r="D272" i="10"/>
  <c r="E272" i="10"/>
  <c r="F272" i="10"/>
  <c r="G272" i="10"/>
  <c r="H272" i="10"/>
  <c r="I272" i="10"/>
  <c r="A273" i="10"/>
  <c r="B273" i="10"/>
  <c r="C273" i="10"/>
  <c r="D273" i="10"/>
  <c r="E273" i="10"/>
  <c r="F273" i="10"/>
  <c r="G273" i="10"/>
  <c r="H273" i="10"/>
  <c r="I273" i="10"/>
  <c r="A274" i="10"/>
  <c r="B274" i="10"/>
  <c r="C274" i="10"/>
  <c r="D274" i="10"/>
  <c r="E274" i="10"/>
  <c r="F274" i="10"/>
  <c r="G274" i="10"/>
  <c r="H274" i="10"/>
  <c r="I274" i="10"/>
  <c r="A275" i="10"/>
  <c r="B275" i="10"/>
  <c r="C275" i="10"/>
  <c r="D275" i="10"/>
  <c r="E275" i="10"/>
  <c r="F275" i="10"/>
  <c r="G275" i="10"/>
  <c r="H275" i="10"/>
  <c r="I275" i="10"/>
  <c r="A276" i="10"/>
  <c r="B276" i="10"/>
  <c r="C276" i="10"/>
  <c r="D276" i="10"/>
  <c r="E276" i="10"/>
  <c r="F276" i="10"/>
  <c r="G276" i="10"/>
  <c r="H276" i="10"/>
  <c r="I276" i="10"/>
  <c r="A277" i="10"/>
  <c r="B277" i="10"/>
  <c r="C277" i="10"/>
  <c r="D277" i="10"/>
  <c r="E277" i="10"/>
  <c r="F277" i="10"/>
  <c r="G277" i="10"/>
  <c r="H277" i="10"/>
  <c r="I277" i="10"/>
  <c r="A278" i="10"/>
  <c r="B278" i="10"/>
  <c r="C278" i="10"/>
  <c r="D278" i="10"/>
  <c r="E278" i="10"/>
  <c r="F278" i="10"/>
  <c r="G278" i="10"/>
  <c r="H278" i="10"/>
  <c r="I278" i="10"/>
  <c r="A279" i="10"/>
  <c r="B279" i="10"/>
  <c r="C279" i="10"/>
  <c r="D279" i="10"/>
  <c r="E279" i="10"/>
  <c r="F279" i="10"/>
  <c r="G279" i="10"/>
  <c r="H279" i="10"/>
  <c r="I279" i="10"/>
  <c r="A280" i="10"/>
  <c r="B280" i="10"/>
  <c r="C280" i="10"/>
  <c r="D280" i="10"/>
  <c r="E280" i="10"/>
  <c r="F280" i="10"/>
  <c r="G280" i="10"/>
  <c r="H280" i="10"/>
  <c r="I280" i="10"/>
  <c r="A281" i="10"/>
  <c r="B281" i="10"/>
  <c r="C281" i="10"/>
  <c r="D281" i="10"/>
  <c r="E281" i="10"/>
  <c r="F281" i="10"/>
  <c r="G281" i="10"/>
  <c r="H281" i="10"/>
  <c r="I281" i="10"/>
  <c r="A282" i="10"/>
  <c r="B282" i="10"/>
  <c r="C282" i="10"/>
  <c r="D282" i="10"/>
  <c r="E282" i="10"/>
  <c r="F282" i="10"/>
  <c r="G282" i="10"/>
  <c r="H282" i="10"/>
  <c r="I282" i="10"/>
  <c r="A283" i="10"/>
  <c r="B283" i="10"/>
  <c r="C283" i="10"/>
  <c r="D283" i="10"/>
  <c r="E283" i="10"/>
  <c r="F283" i="10"/>
  <c r="G283" i="10"/>
  <c r="H283" i="10"/>
  <c r="I283" i="10"/>
  <c r="A284" i="10"/>
  <c r="B284" i="10"/>
  <c r="C284" i="10"/>
  <c r="D284" i="10"/>
  <c r="E284" i="10"/>
  <c r="F284" i="10"/>
  <c r="G284" i="10"/>
  <c r="H284" i="10"/>
  <c r="I284" i="10"/>
  <c r="A285" i="10"/>
  <c r="B285" i="10"/>
  <c r="C285" i="10"/>
  <c r="D285" i="10"/>
  <c r="E285" i="10"/>
  <c r="F285" i="10"/>
  <c r="G285" i="10"/>
  <c r="H285" i="10"/>
  <c r="I285" i="10"/>
  <c r="A286" i="10"/>
  <c r="B286" i="10"/>
  <c r="C286" i="10"/>
  <c r="D286" i="10"/>
  <c r="E286" i="10"/>
  <c r="F286" i="10"/>
  <c r="G286" i="10"/>
  <c r="H286" i="10"/>
  <c r="I286" i="10"/>
  <c r="A287" i="10"/>
  <c r="B287" i="10"/>
  <c r="C287" i="10"/>
  <c r="D287" i="10"/>
  <c r="E287" i="10"/>
  <c r="F287" i="10"/>
  <c r="G287" i="10"/>
  <c r="H287" i="10"/>
  <c r="I287" i="10"/>
  <c r="A288" i="10"/>
  <c r="B288" i="10"/>
  <c r="C288" i="10"/>
  <c r="D288" i="10"/>
  <c r="E288" i="10"/>
  <c r="F288" i="10"/>
  <c r="G288" i="10"/>
  <c r="H288" i="10"/>
  <c r="I288" i="10"/>
  <c r="A289" i="10"/>
  <c r="B289" i="10"/>
  <c r="C289" i="10"/>
  <c r="D289" i="10"/>
  <c r="E289" i="10"/>
  <c r="F289" i="10"/>
  <c r="G289" i="10"/>
  <c r="H289" i="10"/>
  <c r="I289" i="10"/>
  <c r="A290" i="10"/>
  <c r="B290" i="10"/>
  <c r="C290" i="10"/>
  <c r="D290" i="10"/>
  <c r="E290" i="10"/>
  <c r="F290" i="10"/>
  <c r="G290" i="10"/>
  <c r="H290" i="10"/>
  <c r="I290" i="10"/>
  <c r="A291" i="10"/>
  <c r="B291" i="10"/>
  <c r="C291" i="10"/>
  <c r="D291" i="10"/>
  <c r="E291" i="10"/>
  <c r="F291" i="10"/>
  <c r="G291" i="10"/>
  <c r="H291" i="10"/>
  <c r="I291" i="10"/>
  <c r="A292" i="10"/>
  <c r="B292" i="10"/>
  <c r="C292" i="10"/>
  <c r="D292" i="10"/>
  <c r="E292" i="10"/>
  <c r="F292" i="10"/>
  <c r="G292" i="10"/>
  <c r="H292" i="10"/>
  <c r="I292" i="10"/>
  <c r="A293" i="10"/>
  <c r="B293" i="10"/>
  <c r="C293" i="10"/>
  <c r="D293" i="10"/>
  <c r="E293" i="10"/>
  <c r="F293" i="10"/>
  <c r="G293" i="10"/>
  <c r="H293" i="10"/>
  <c r="I293" i="10"/>
  <c r="A294" i="10"/>
  <c r="B294" i="10"/>
  <c r="C294" i="10"/>
  <c r="D294" i="10"/>
  <c r="E294" i="10"/>
  <c r="F294" i="10"/>
  <c r="G294" i="10"/>
  <c r="H294" i="10"/>
  <c r="I294" i="10"/>
  <c r="A295" i="10"/>
  <c r="B295" i="10"/>
  <c r="C295" i="10"/>
  <c r="D295" i="10"/>
  <c r="E295" i="10"/>
  <c r="F295" i="10"/>
  <c r="G295" i="10"/>
  <c r="H295" i="10"/>
  <c r="I295" i="10"/>
  <c r="A296" i="10"/>
  <c r="B296" i="10"/>
  <c r="C296" i="10"/>
  <c r="D296" i="10"/>
  <c r="E296" i="10"/>
  <c r="F296" i="10"/>
  <c r="G296" i="10"/>
  <c r="H296" i="10"/>
  <c r="I296" i="10"/>
  <c r="A297" i="10"/>
  <c r="B297" i="10"/>
  <c r="C297" i="10"/>
  <c r="D297" i="10"/>
  <c r="E297" i="10"/>
  <c r="F297" i="10"/>
  <c r="G297" i="10"/>
  <c r="H297" i="10"/>
  <c r="I297" i="10"/>
  <c r="A298" i="10"/>
  <c r="B298" i="10"/>
  <c r="C298" i="10"/>
  <c r="D298" i="10"/>
  <c r="E298" i="10"/>
  <c r="F298" i="10"/>
  <c r="G298" i="10"/>
  <c r="H298" i="10"/>
  <c r="I298" i="10"/>
  <c r="A299" i="10"/>
  <c r="B299" i="10"/>
  <c r="C299" i="10"/>
  <c r="D299" i="10"/>
  <c r="E299" i="10"/>
  <c r="F299" i="10"/>
  <c r="G299" i="10"/>
  <c r="H299" i="10"/>
  <c r="I299" i="10"/>
  <c r="A300" i="10"/>
  <c r="B300" i="10"/>
  <c r="C300" i="10"/>
  <c r="D300" i="10"/>
  <c r="E300" i="10"/>
  <c r="F300" i="10"/>
  <c r="G300" i="10"/>
  <c r="H300" i="10"/>
  <c r="I300" i="10"/>
  <c r="A301" i="10"/>
  <c r="B301" i="10"/>
  <c r="C301" i="10"/>
  <c r="D301" i="10"/>
  <c r="E301" i="10"/>
  <c r="F301" i="10"/>
  <c r="G301" i="10"/>
  <c r="H301" i="10"/>
  <c r="I301" i="10"/>
  <c r="A302" i="10"/>
  <c r="B302" i="10"/>
  <c r="C302" i="10"/>
  <c r="D302" i="10"/>
  <c r="E302" i="10"/>
  <c r="F302" i="10"/>
  <c r="G302" i="10"/>
  <c r="H302" i="10"/>
  <c r="I302" i="10"/>
  <c r="A303" i="10"/>
  <c r="B303" i="10"/>
  <c r="C303" i="10"/>
  <c r="D303" i="10"/>
  <c r="E303" i="10"/>
  <c r="F303" i="10"/>
  <c r="G303" i="10"/>
  <c r="H303" i="10"/>
  <c r="I303" i="10"/>
  <c r="A304" i="10"/>
  <c r="B304" i="10"/>
  <c r="C304" i="10"/>
  <c r="D304" i="10"/>
  <c r="E304" i="10"/>
  <c r="F304" i="10"/>
  <c r="G304" i="10"/>
  <c r="H304" i="10"/>
  <c r="I304" i="10"/>
  <c r="A305" i="10"/>
  <c r="B305" i="10"/>
  <c r="C305" i="10"/>
  <c r="D305" i="10"/>
  <c r="E305" i="10"/>
  <c r="F305" i="10"/>
  <c r="G305" i="10"/>
  <c r="H305" i="10"/>
  <c r="I305" i="10"/>
  <c r="A306" i="10"/>
  <c r="B306" i="10"/>
  <c r="C306" i="10"/>
  <c r="D306" i="10"/>
  <c r="E306" i="10"/>
  <c r="F306" i="10"/>
  <c r="G306" i="10"/>
  <c r="H306" i="10"/>
  <c r="I306" i="10"/>
  <c r="A307" i="10"/>
  <c r="B307" i="10"/>
  <c r="C307" i="10"/>
  <c r="D307" i="10"/>
  <c r="E307" i="10"/>
  <c r="F307" i="10"/>
  <c r="G307" i="10"/>
  <c r="H307" i="10"/>
  <c r="I307" i="10"/>
  <c r="A308" i="10"/>
  <c r="B308" i="10"/>
  <c r="C308" i="10"/>
  <c r="D308" i="10"/>
  <c r="E308" i="10"/>
  <c r="F308" i="10"/>
  <c r="G308" i="10"/>
  <c r="H308" i="10"/>
  <c r="I308" i="10"/>
  <c r="A309" i="10"/>
  <c r="B309" i="10"/>
  <c r="C309" i="10"/>
  <c r="D309" i="10"/>
  <c r="E309" i="10"/>
  <c r="F309" i="10"/>
  <c r="G309" i="10"/>
  <c r="H309" i="10"/>
  <c r="I309" i="10"/>
  <c r="A310" i="10"/>
  <c r="B310" i="10"/>
  <c r="C310" i="10"/>
  <c r="D310" i="10"/>
  <c r="E310" i="10"/>
  <c r="F310" i="10"/>
  <c r="G310" i="10"/>
  <c r="H310" i="10"/>
  <c r="I310" i="10"/>
  <c r="A311" i="10"/>
  <c r="B311" i="10"/>
  <c r="C311" i="10"/>
  <c r="D311" i="10"/>
  <c r="E311" i="10"/>
  <c r="F311" i="10"/>
  <c r="G311" i="10"/>
  <c r="H311" i="10"/>
  <c r="I311" i="10"/>
  <c r="A312" i="10"/>
  <c r="B312" i="10"/>
  <c r="C312" i="10"/>
  <c r="D312" i="10"/>
  <c r="E312" i="10"/>
  <c r="F312" i="10"/>
  <c r="G312" i="10"/>
  <c r="H312" i="10"/>
  <c r="I312" i="10"/>
  <c r="A313" i="10"/>
  <c r="B313" i="10"/>
  <c r="C313" i="10"/>
  <c r="D313" i="10"/>
  <c r="E313" i="10"/>
  <c r="F313" i="10"/>
  <c r="G313" i="10"/>
  <c r="H313" i="10"/>
  <c r="I313" i="10"/>
  <c r="A314" i="10"/>
  <c r="B314" i="10"/>
  <c r="C314" i="10"/>
  <c r="D314" i="10"/>
  <c r="E314" i="10"/>
  <c r="F314" i="10"/>
  <c r="G314" i="10"/>
  <c r="H314" i="10"/>
  <c r="I314" i="10"/>
  <c r="A315" i="10"/>
  <c r="B315" i="10"/>
  <c r="C315" i="10"/>
  <c r="D315" i="10"/>
  <c r="E315" i="10"/>
  <c r="F315" i="10"/>
  <c r="G315" i="10"/>
  <c r="H315" i="10"/>
  <c r="I315" i="10"/>
  <c r="A316" i="10"/>
  <c r="B316" i="10"/>
  <c r="C316" i="10"/>
  <c r="D316" i="10"/>
  <c r="E316" i="10"/>
  <c r="F316" i="10"/>
  <c r="G316" i="10"/>
  <c r="H316" i="10"/>
  <c r="I316" i="10"/>
  <c r="A317" i="10"/>
  <c r="B317" i="10"/>
  <c r="C317" i="10"/>
  <c r="D317" i="10"/>
  <c r="E317" i="10"/>
  <c r="F317" i="10"/>
  <c r="G317" i="10"/>
  <c r="H317" i="10"/>
  <c r="I317" i="10"/>
  <c r="A318" i="10"/>
  <c r="B318" i="10"/>
  <c r="C318" i="10"/>
  <c r="D318" i="10"/>
  <c r="E318" i="10"/>
  <c r="F318" i="10"/>
  <c r="G318" i="10"/>
  <c r="H318" i="10"/>
  <c r="I318" i="10"/>
  <c r="A319" i="10"/>
  <c r="B319" i="10"/>
  <c r="C319" i="10"/>
  <c r="D319" i="10"/>
  <c r="E319" i="10"/>
  <c r="F319" i="10"/>
  <c r="G319" i="10"/>
  <c r="H319" i="10"/>
  <c r="I319" i="10"/>
  <c r="A320" i="10"/>
  <c r="B320" i="10"/>
  <c r="C320" i="10"/>
  <c r="D320" i="10"/>
  <c r="E320" i="10"/>
  <c r="F320" i="10"/>
  <c r="G320" i="10"/>
  <c r="H320" i="10"/>
  <c r="I320" i="10"/>
  <c r="A321" i="10"/>
  <c r="B321" i="10"/>
  <c r="C321" i="10"/>
  <c r="D321" i="10"/>
  <c r="E321" i="10"/>
  <c r="F321" i="10"/>
  <c r="G321" i="10"/>
  <c r="H321" i="10"/>
  <c r="I321" i="10"/>
  <c r="A322" i="10"/>
  <c r="B322" i="10"/>
  <c r="C322" i="10"/>
  <c r="D322" i="10"/>
  <c r="E322" i="10"/>
  <c r="F322" i="10"/>
  <c r="G322" i="10"/>
  <c r="H322" i="10"/>
  <c r="I322" i="10"/>
  <c r="A323" i="10"/>
  <c r="B323" i="10"/>
  <c r="C323" i="10"/>
  <c r="D323" i="10"/>
  <c r="E323" i="10"/>
  <c r="F323" i="10"/>
  <c r="G323" i="10"/>
  <c r="H323" i="10"/>
  <c r="I323" i="10"/>
  <c r="A324" i="10"/>
  <c r="B324" i="10"/>
  <c r="C324" i="10"/>
  <c r="D324" i="10"/>
  <c r="E324" i="10"/>
  <c r="F324" i="10"/>
  <c r="G324" i="10"/>
  <c r="H324" i="10"/>
  <c r="I324" i="10"/>
  <c r="A325" i="10"/>
  <c r="B325" i="10"/>
  <c r="C325" i="10"/>
  <c r="D325" i="10"/>
  <c r="E325" i="10"/>
  <c r="F325" i="10"/>
  <c r="G325" i="10"/>
  <c r="H325" i="10"/>
  <c r="I325" i="10"/>
  <c r="A326" i="10"/>
  <c r="B326" i="10"/>
  <c r="C326" i="10"/>
  <c r="D326" i="10"/>
  <c r="E326" i="10"/>
  <c r="F326" i="10"/>
  <c r="G326" i="10"/>
  <c r="H326" i="10"/>
  <c r="I326" i="10"/>
  <c r="A327" i="10"/>
  <c r="B327" i="10"/>
  <c r="C327" i="10"/>
  <c r="D327" i="10"/>
  <c r="E327" i="10"/>
  <c r="F327" i="10"/>
  <c r="G327" i="10"/>
  <c r="H327" i="10"/>
  <c r="I327" i="10"/>
  <c r="A328" i="10"/>
  <c r="B328" i="10"/>
  <c r="C328" i="10"/>
  <c r="D328" i="10"/>
  <c r="E328" i="10"/>
  <c r="F328" i="10"/>
  <c r="G328" i="10"/>
  <c r="H328" i="10"/>
  <c r="I328" i="10"/>
  <c r="A329" i="10"/>
  <c r="B329" i="10"/>
  <c r="C329" i="10"/>
  <c r="D329" i="10"/>
  <c r="E329" i="10"/>
  <c r="F329" i="10"/>
  <c r="G329" i="10"/>
  <c r="H329" i="10"/>
  <c r="I329" i="10"/>
  <c r="A330" i="10"/>
  <c r="B330" i="10"/>
  <c r="C330" i="10"/>
  <c r="D330" i="10"/>
  <c r="E330" i="10"/>
  <c r="F330" i="10"/>
  <c r="G330" i="10"/>
  <c r="H330" i="10"/>
  <c r="I330" i="10"/>
  <c r="A331" i="10"/>
  <c r="B331" i="10"/>
  <c r="C331" i="10"/>
  <c r="D331" i="10"/>
  <c r="E331" i="10"/>
  <c r="F331" i="10"/>
  <c r="G331" i="10"/>
  <c r="H331" i="10"/>
  <c r="I331" i="10"/>
  <c r="A332" i="10"/>
  <c r="B332" i="10"/>
  <c r="C332" i="10"/>
  <c r="D332" i="10"/>
  <c r="E332" i="10"/>
  <c r="F332" i="10"/>
  <c r="G332" i="10"/>
  <c r="H332" i="10"/>
  <c r="I332" i="10"/>
  <c r="A333" i="10"/>
  <c r="B333" i="10"/>
  <c r="C333" i="10"/>
  <c r="D333" i="10"/>
  <c r="E333" i="10"/>
  <c r="F333" i="10"/>
  <c r="G333" i="10"/>
  <c r="H333" i="10"/>
  <c r="I333" i="10"/>
  <c r="A334" i="10"/>
  <c r="B334" i="10"/>
  <c r="C334" i="10"/>
  <c r="D334" i="10"/>
  <c r="E334" i="10"/>
  <c r="F334" i="10"/>
  <c r="G334" i="10"/>
  <c r="H334" i="10"/>
  <c r="I334" i="10"/>
  <c r="A335" i="10"/>
  <c r="B335" i="10"/>
  <c r="C335" i="10"/>
  <c r="D335" i="10"/>
  <c r="E335" i="10"/>
  <c r="F335" i="10"/>
  <c r="G335" i="10"/>
  <c r="H335" i="10"/>
  <c r="I335" i="10"/>
  <c r="A2" i="10"/>
  <c r="B2" i="10"/>
  <c r="C2" i="10"/>
  <c r="D2" i="10"/>
  <c r="E2" i="10"/>
  <c r="F2" i="10"/>
  <c r="G2" i="10"/>
  <c r="H2" i="10"/>
  <c r="I2" i="10"/>
  <c r="A3" i="10"/>
  <c r="B3" i="10"/>
  <c r="C3" i="10"/>
  <c r="D3" i="10"/>
  <c r="E3" i="10"/>
  <c r="F3" i="10"/>
  <c r="G3" i="10"/>
  <c r="H3" i="10"/>
  <c r="I3" i="10"/>
  <c r="A4" i="10"/>
  <c r="B4" i="10"/>
  <c r="C4" i="10"/>
  <c r="D4" i="10"/>
  <c r="E4" i="10"/>
  <c r="F4" i="10"/>
  <c r="G4" i="10"/>
  <c r="H4" i="10"/>
  <c r="I4" i="10"/>
  <c r="A5" i="10"/>
  <c r="B5" i="10"/>
  <c r="C5" i="10"/>
  <c r="D5" i="10"/>
  <c r="E5" i="10"/>
  <c r="F5" i="10"/>
  <c r="G5" i="10"/>
  <c r="H5" i="10"/>
  <c r="I5" i="10"/>
  <c r="A6" i="10"/>
  <c r="B6" i="10"/>
  <c r="C6" i="10"/>
  <c r="D6" i="10"/>
  <c r="E6" i="10"/>
  <c r="F6" i="10"/>
  <c r="G6" i="10"/>
  <c r="H6" i="10"/>
  <c r="I6" i="10"/>
  <c r="A7" i="10"/>
  <c r="B7" i="10"/>
  <c r="C7" i="10"/>
  <c r="D7" i="10"/>
  <c r="E7" i="10"/>
  <c r="F7" i="10"/>
  <c r="G7" i="10"/>
  <c r="H7" i="10"/>
  <c r="I7" i="10"/>
  <c r="A8" i="10"/>
  <c r="B8" i="10"/>
  <c r="C8" i="10"/>
  <c r="D8" i="10"/>
  <c r="E8" i="10"/>
  <c r="F8" i="10"/>
  <c r="G8" i="10"/>
  <c r="H8" i="10"/>
  <c r="I8" i="10"/>
  <c r="A9" i="10"/>
  <c r="B9" i="10"/>
  <c r="C9" i="10"/>
  <c r="D9" i="10"/>
  <c r="E9" i="10"/>
  <c r="F9" i="10"/>
  <c r="G9" i="10"/>
  <c r="H9" i="10"/>
  <c r="I9" i="10"/>
  <c r="A10" i="10"/>
  <c r="B10" i="10"/>
  <c r="C10" i="10"/>
  <c r="D10" i="10"/>
  <c r="E10" i="10"/>
  <c r="F10" i="10"/>
  <c r="G10" i="10"/>
  <c r="H10" i="10"/>
  <c r="I10" i="10"/>
  <c r="A11" i="10"/>
  <c r="B11" i="10"/>
  <c r="C11" i="10"/>
  <c r="D11" i="10"/>
  <c r="E11" i="10"/>
  <c r="F11" i="10"/>
  <c r="G11" i="10"/>
  <c r="H11" i="10"/>
  <c r="I11" i="10"/>
  <c r="A12" i="10"/>
  <c r="B12" i="10"/>
  <c r="C12" i="10"/>
  <c r="D12" i="10"/>
  <c r="E12" i="10"/>
  <c r="F12" i="10"/>
  <c r="G12" i="10"/>
  <c r="H12" i="10"/>
  <c r="I12" i="10"/>
  <c r="A13" i="10"/>
  <c r="B13" i="10"/>
  <c r="C13" i="10"/>
  <c r="D13" i="10"/>
  <c r="E13" i="10"/>
  <c r="F13" i="10"/>
  <c r="G13" i="10"/>
  <c r="H13" i="10"/>
  <c r="I13" i="10"/>
  <c r="A14" i="10"/>
  <c r="B14" i="10"/>
  <c r="C14" i="10"/>
  <c r="D14" i="10"/>
  <c r="E14" i="10"/>
  <c r="F14" i="10"/>
  <c r="G14" i="10"/>
  <c r="H14" i="10"/>
  <c r="I14" i="10"/>
  <c r="A15" i="10"/>
  <c r="B15" i="10"/>
  <c r="C15" i="10"/>
  <c r="D15" i="10"/>
  <c r="E15" i="10"/>
  <c r="F15" i="10"/>
  <c r="G15" i="10"/>
  <c r="H15" i="10"/>
  <c r="I15" i="10"/>
  <c r="A16" i="10"/>
  <c r="B16" i="10"/>
  <c r="C16" i="10"/>
  <c r="D16" i="10"/>
  <c r="E16" i="10"/>
  <c r="F16" i="10"/>
  <c r="G16" i="10"/>
  <c r="H16" i="10"/>
  <c r="I16" i="10"/>
  <c r="A17" i="10"/>
  <c r="B17" i="10"/>
  <c r="C17" i="10"/>
  <c r="D17" i="10"/>
  <c r="E17" i="10"/>
  <c r="F17" i="10"/>
  <c r="G17" i="10"/>
  <c r="H17" i="10"/>
  <c r="I17" i="10"/>
  <c r="A18" i="10"/>
  <c r="B18" i="10"/>
  <c r="C18" i="10"/>
  <c r="D18" i="10"/>
  <c r="E18" i="10"/>
  <c r="F18" i="10"/>
  <c r="G18" i="10"/>
  <c r="H18" i="10"/>
  <c r="I18" i="10"/>
  <c r="A19" i="10"/>
  <c r="B19" i="10"/>
  <c r="C19" i="10"/>
  <c r="D19" i="10"/>
  <c r="E19" i="10"/>
  <c r="F19" i="10"/>
  <c r="G19" i="10"/>
  <c r="H19" i="10"/>
  <c r="I19" i="10"/>
  <c r="A20" i="10"/>
  <c r="B20" i="10"/>
  <c r="C20" i="10"/>
  <c r="D20" i="10"/>
  <c r="E20" i="10"/>
  <c r="F20" i="10"/>
  <c r="G20" i="10"/>
  <c r="H20" i="10"/>
  <c r="I20" i="10"/>
  <c r="A21" i="10"/>
  <c r="B21" i="10"/>
  <c r="C21" i="10"/>
  <c r="D21" i="10"/>
  <c r="E21" i="10"/>
  <c r="F21" i="10"/>
  <c r="G21" i="10"/>
  <c r="H21" i="10"/>
  <c r="I21" i="10"/>
  <c r="A22" i="10"/>
  <c r="B22" i="10"/>
  <c r="C22" i="10"/>
  <c r="D22" i="10"/>
  <c r="E22" i="10"/>
  <c r="F22" i="10"/>
  <c r="G22" i="10"/>
  <c r="H22" i="10"/>
  <c r="I22" i="10"/>
  <c r="A23" i="10"/>
  <c r="B23" i="10"/>
  <c r="C23" i="10"/>
  <c r="D23" i="10"/>
  <c r="E23" i="10"/>
  <c r="F23" i="10"/>
  <c r="G23" i="10"/>
  <c r="H23" i="10"/>
  <c r="I23" i="10"/>
  <c r="A24" i="10"/>
  <c r="B24" i="10"/>
  <c r="C24" i="10"/>
  <c r="D24" i="10"/>
  <c r="E24" i="10"/>
  <c r="F24" i="10"/>
  <c r="G24" i="10"/>
  <c r="H24" i="10"/>
  <c r="I24" i="10"/>
  <c r="A25" i="10"/>
  <c r="B25" i="10"/>
  <c r="C25" i="10"/>
  <c r="D25" i="10"/>
  <c r="E25" i="10"/>
  <c r="F25" i="10"/>
  <c r="G25" i="10"/>
  <c r="H25" i="10"/>
  <c r="I25" i="10"/>
  <c r="A26" i="10"/>
  <c r="B26" i="10"/>
  <c r="C26" i="10"/>
  <c r="D26" i="10"/>
  <c r="E26" i="10"/>
  <c r="F26" i="10"/>
  <c r="G26" i="10"/>
  <c r="H26" i="10"/>
  <c r="I26" i="10"/>
  <c r="A27" i="10"/>
  <c r="B27" i="10"/>
  <c r="C27" i="10"/>
  <c r="D27" i="10"/>
  <c r="E27" i="10"/>
  <c r="F27" i="10"/>
  <c r="G27" i="10"/>
  <c r="H27" i="10"/>
  <c r="I27" i="10"/>
  <c r="A28" i="10"/>
  <c r="B28" i="10"/>
  <c r="C28" i="10"/>
  <c r="D28" i="10"/>
  <c r="E28" i="10"/>
  <c r="F28" i="10"/>
  <c r="G28" i="10"/>
  <c r="H28" i="10"/>
  <c r="I28" i="10"/>
  <c r="A29" i="10"/>
  <c r="B29" i="10"/>
  <c r="C29" i="10"/>
  <c r="D29" i="10"/>
  <c r="E29" i="10"/>
  <c r="F29" i="10"/>
  <c r="G29" i="10"/>
  <c r="H29" i="10"/>
  <c r="I29" i="10"/>
  <c r="A30" i="10"/>
  <c r="B30" i="10"/>
  <c r="C30" i="10"/>
  <c r="D30" i="10"/>
  <c r="E30" i="10"/>
  <c r="F30" i="10"/>
  <c r="G30" i="10"/>
  <c r="H30" i="10"/>
  <c r="I30" i="10"/>
  <c r="A31" i="10"/>
  <c r="B31" i="10"/>
  <c r="C31" i="10"/>
  <c r="D31" i="10"/>
  <c r="E31" i="10"/>
  <c r="F31" i="10"/>
  <c r="G31" i="10"/>
  <c r="H31" i="10"/>
  <c r="I31" i="10"/>
  <c r="A32" i="10"/>
  <c r="B32" i="10"/>
  <c r="C32" i="10"/>
  <c r="D32" i="10"/>
  <c r="E32" i="10"/>
  <c r="F32" i="10"/>
  <c r="G32" i="10"/>
  <c r="H32" i="10"/>
  <c r="I32" i="10"/>
  <c r="A33" i="10"/>
  <c r="B33" i="10"/>
  <c r="C33" i="10"/>
  <c r="D33" i="10"/>
  <c r="E33" i="10"/>
  <c r="F33" i="10"/>
  <c r="G33" i="10"/>
  <c r="H33" i="10"/>
  <c r="I33" i="10"/>
  <c r="A34" i="10"/>
  <c r="B34" i="10"/>
  <c r="C34" i="10"/>
  <c r="D34" i="10"/>
  <c r="E34" i="10"/>
  <c r="F34" i="10"/>
  <c r="G34" i="10"/>
  <c r="H34" i="10"/>
  <c r="I34" i="10"/>
  <c r="A35" i="10"/>
  <c r="B35" i="10"/>
  <c r="C35" i="10"/>
  <c r="D35" i="10"/>
  <c r="E35" i="10"/>
  <c r="F35" i="10"/>
  <c r="G35" i="10"/>
  <c r="H35" i="10"/>
  <c r="I35" i="10"/>
  <c r="A36" i="10"/>
  <c r="B36" i="10"/>
  <c r="C36" i="10"/>
  <c r="D36" i="10"/>
  <c r="E36" i="10"/>
  <c r="F36" i="10"/>
  <c r="G36" i="10"/>
  <c r="H36" i="10"/>
  <c r="I36" i="10"/>
  <c r="A37" i="10"/>
  <c r="B37" i="10"/>
  <c r="C37" i="10"/>
  <c r="D37" i="10"/>
  <c r="E37" i="10"/>
  <c r="F37" i="10"/>
  <c r="G37" i="10"/>
  <c r="H37" i="10"/>
  <c r="I37" i="10"/>
  <c r="A38" i="10"/>
  <c r="B38" i="10"/>
  <c r="C38" i="10"/>
  <c r="D38" i="10"/>
  <c r="E38" i="10"/>
  <c r="F38" i="10"/>
  <c r="G38" i="10"/>
  <c r="H38" i="10"/>
  <c r="I38" i="10"/>
  <c r="A39" i="10"/>
  <c r="B39" i="10"/>
  <c r="C39" i="10"/>
  <c r="D39" i="10"/>
  <c r="E39" i="10"/>
  <c r="F39" i="10"/>
  <c r="G39" i="10"/>
  <c r="H39" i="10"/>
  <c r="I39" i="10"/>
  <c r="A40" i="10"/>
  <c r="B40" i="10"/>
  <c r="C40" i="10"/>
  <c r="D40" i="10"/>
  <c r="E40" i="10"/>
  <c r="F40" i="10"/>
  <c r="G40" i="10"/>
  <c r="H40" i="10"/>
  <c r="I40" i="10"/>
  <c r="A41" i="10"/>
  <c r="B41" i="10"/>
  <c r="C41" i="10"/>
  <c r="D41" i="10"/>
  <c r="E41" i="10"/>
  <c r="F41" i="10"/>
  <c r="G41" i="10"/>
  <c r="H41" i="10"/>
  <c r="I41" i="10"/>
  <c r="A42" i="10"/>
  <c r="B42" i="10"/>
  <c r="C42" i="10"/>
  <c r="D42" i="10"/>
  <c r="E42" i="10"/>
  <c r="F42" i="10"/>
  <c r="G42" i="10"/>
  <c r="H42" i="10"/>
  <c r="I42" i="10"/>
  <c r="A43" i="10"/>
  <c r="B43" i="10"/>
  <c r="C43" i="10"/>
  <c r="D43" i="10"/>
  <c r="E43" i="10"/>
  <c r="F43" i="10"/>
  <c r="G43" i="10"/>
  <c r="H43" i="10"/>
  <c r="I43" i="10"/>
  <c r="A44" i="10"/>
  <c r="B44" i="10"/>
  <c r="C44" i="10"/>
  <c r="D44" i="10"/>
  <c r="E44" i="10"/>
  <c r="F44" i="10"/>
  <c r="G44" i="10"/>
  <c r="H44" i="10"/>
  <c r="I44" i="10"/>
  <c r="A45" i="10"/>
  <c r="B45" i="10"/>
  <c r="C45" i="10"/>
  <c r="D45" i="10"/>
  <c r="E45" i="10"/>
  <c r="F45" i="10"/>
  <c r="G45" i="10"/>
  <c r="H45" i="10"/>
  <c r="I45" i="10"/>
  <c r="A46" i="10"/>
  <c r="B46" i="10"/>
  <c r="C46" i="10"/>
  <c r="D46" i="10"/>
  <c r="E46" i="10"/>
  <c r="F46" i="10"/>
  <c r="G46" i="10"/>
  <c r="H46" i="10"/>
  <c r="I46" i="10"/>
  <c r="A47" i="10"/>
  <c r="B47" i="10"/>
  <c r="C47" i="10"/>
  <c r="D47" i="10"/>
  <c r="E47" i="10"/>
  <c r="F47" i="10"/>
  <c r="G47" i="10"/>
  <c r="H47" i="10"/>
  <c r="I47" i="10"/>
  <c r="A48" i="10"/>
  <c r="B48" i="10"/>
  <c r="C48" i="10"/>
  <c r="D48" i="10"/>
  <c r="E48" i="10"/>
  <c r="F48" i="10"/>
  <c r="G48" i="10"/>
  <c r="H48" i="10"/>
  <c r="I48" i="10"/>
  <c r="A49" i="10"/>
  <c r="B49" i="10"/>
  <c r="C49" i="10"/>
  <c r="D49" i="10"/>
  <c r="E49" i="10"/>
  <c r="F49" i="10"/>
  <c r="G49" i="10"/>
  <c r="H49" i="10"/>
  <c r="I49" i="10"/>
  <c r="A50" i="10"/>
  <c r="B50" i="10"/>
  <c r="C50" i="10"/>
  <c r="D50" i="10"/>
  <c r="E50" i="10"/>
  <c r="F50" i="10"/>
  <c r="G50" i="10"/>
  <c r="H50" i="10"/>
  <c r="I50" i="10"/>
  <c r="A51" i="10"/>
  <c r="B51" i="10"/>
  <c r="C51" i="10"/>
  <c r="D51" i="10"/>
  <c r="E51" i="10"/>
  <c r="F51" i="10"/>
  <c r="G51" i="10"/>
  <c r="H51" i="10"/>
  <c r="I51" i="10"/>
  <c r="A52" i="10"/>
  <c r="B52" i="10"/>
  <c r="C52" i="10"/>
  <c r="D52" i="10"/>
  <c r="E52" i="10"/>
  <c r="F52" i="10"/>
  <c r="G52" i="10"/>
  <c r="H52" i="10"/>
  <c r="I52" i="10"/>
  <c r="A53" i="10"/>
  <c r="B53" i="10"/>
  <c r="C53" i="10"/>
  <c r="D53" i="10"/>
  <c r="E53" i="10"/>
  <c r="F53" i="10"/>
  <c r="G53" i="10"/>
  <c r="H53" i="10"/>
  <c r="I53" i="10"/>
  <c r="A54" i="10"/>
  <c r="B54" i="10"/>
  <c r="C54" i="10"/>
  <c r="D54" i="10"/>
  <c r="E54" i="10"/>
  <c r="F54" i="10"/>
  <c r="G54" i="10"/>
  <c r="H54" i="10"/>
  <c r="I54" i="10"/>
  <c r="A55" i="10"/>
  <c r="B55" i="10"/>
  <c r="C55" i="10"/>
  <c r="D55" i="10"/>
  <c r="E55" i="10"/>
  <c r="F55" i="10"/>
  <c r="G55" i="10"/>
  <c r="H55" i="10"/>
  <c r="I55" i="10"/>
  <c r="A56" i="10"/>
  <c r="B56" i="10"/>
  <c r="C56" i="10"/>
  <c r="D56" i="10"/>
  <c r="E56" i="10"/>
  <c r="F56" i="10"/>
  <c r="G56" i="10"/>
  <c r="H56" i="10"/>
  <c r="I56" i="10"/>
  <c r="A57" i="10"/>
  <c r="B57" i="10"/>
  <c r="C57" i="10"/>
  <c r="D57" i="10"/>
  <c r="E57" i="10"/>
  <c r="F57" i="10"/>
  <c r="G57" i="10"/>
  <c r="H57" i="10"/>
  <c r="I57" i="10"/>
  <c r="A58" i="10"/>
  <c r="B58" i="10"/>
  <c r="C58" i="10"/>
  <c r="D58" i="10"/>
  <c r="E58" i="10"/>
  <c r="F58" i="10"/>
  <c r="G58" i="10"/>
  <c r="H58" i="10"/>
  <c r="I58" i="10"/>
  <c r="A59" i="10"/>
  <c r="B59" i="10"/>
  <c r="C59" i="10"/>
  <c r="D59" i="10"/>
  <c r="E59" i="10"/>
  <c r="F59" i="10"/>
  <c r="G59" i="10"/>
  <c r="H59" i="10"/>
  <c r="I59" i="10"/>
  <c r="A60" i="10"/>
  <c r="B60" i="10"/>
  <c r="C60" i="10"/>
  <c r="D60" i="10"/>
  <c r="E60" i="10"/>
  <c r="F60" i="10"/>
  <c r="G60" i="10"/>
  <c r="H60" i="10"/>
  <c r="I60" i="10"/>
  <c r="A61" i="10"/>
  <c r="B61" i="10"/>
  <c r="C61" i="10"/>
  <c r="D61" i="10"/>
  <c r="E61" i="10"/>
  <c r="F61" i="10"/>
  <c r="G61" i="10"/>
  <c r="H61" i="10"/>
  <c r="I61" i="10"/>
  <c r="A62" i="10"/>
  <c r="B62" i="10"/>
  <c r="C62" i="10"/>
  <c r="D62" i="10"/>
  <c r="E62" i="10"/>
  <c r="F62" i="10"/>
  <c r="G62" i="10"/>
  <c r="H62" i="10"/>
  <c r="I62" i="10"/>
  <c r="A63" i="10"/>
  <c r="B63" i="10"/>
  <c r="C63" i="10"/>
  <c r="D63" i="10"/>
  <c r="E63" i="10"/>
  <c r="F63" i="10"/>
  <c r="G63" i="10"/>
  <c r="H63" i="10"/>
  <c r="I63" i="10"/>
  <c r="A64" i="10"/>
  <c r="B64" i="10"/>
  <c r="C64" i="10"/>
  <c r="D64" i="10"/>
  <c r="E64" i="10"/>
  <c r="F64" i="10"/>
  <c r="G64" i="10"/>
  <c r="H64" i="10"/>
  <c r="I64" i="10"/>
  <c r="A65" i="10"/>
  <c r="B65" i="10"/>
  <c r="C65" i="10"/>
  <c r="D65" i="10"/>
  <c r="E65" i="10"/>
  <c r="F65" i="10"/>
  <c r="G65" i="10"/>
  <c r="H65" i="10"/>
  <c r="I65" i="10"/>
  <c r="A66" i="10"/>
  <c r="B66" i="10"/>
  <c r="C66" i="10"/>
  <c r="D66" i="10"/>
  <c r="E66" i="10"/>
  <c r="F66" i="10"/>
  <c r="G66" i="10"/>
  <c r="H66" i="10"/>
  <c r="I66" i="10"/>
  <c r="A67" i="10"/>
  <c r="B67" i="10"/>
  <c r="C67" i="10"/>
  <c r="D67" i="10"/>
  <c r="E67" i="10"/>
  <c r="F67" i="10"/>
  <c r="G67" i="10"/>
  <c r="H67" i="10"/>
  <c r="I67" i="10"/>
  <c r="A68" i="10"/>
  <c r="B68" i="10"/>
  <c r="C68" i="10"/>
  <c r="D68" i="10"/>
  <c r="E68" i="10"/>
  <c r="F68" i="10"/>
  <c r="G68" i="10"/>
  <c r="H68" i="10"/>
  <c r="I68" i="10"/>
  <c r="A69" i="10"/>
  <c r="B69" i="10"/>
  <c r="C69" i="10"/>
  <c r="D69" i="10"/>
  <c r="E69" i="10"/>
  <c r="F69" i="10"/>
  <c r="G69" i="10"/>
  <c r="H69" i="10"/>
  <c r="I69" i="10"/>
  <c r="A70" i="10"/>
  <c r="B70" i="10"/>
  <c r="C70" i="10"/>
  <c r="D70" i="10"/>
  <c r="E70" i="10"/>
  <c r="F70" i="10"/>
  <c r="G70" i="10"/>
  <c r="H70" i="10"/>
  <c r="I70" i="10"/>
  <c r="A71" i="10"/>
  <c r="B71" i="10"/>
  <c r="C71" i="10"/>
  <c r="D71" i="10"/>
  <c r="E71" i="10"/>
  <c r="F71" i="10"/>
  <c r="G71" i="10"/>
  <c r="H71" i="10"/>
  <c r="I71" i="10"/>
  <c r="A72" i="10"/>
  <c r="B72" i="10"/>
  <c r="C72" i="10"/>
  <c r="D72" i="10"/>
  <c r="E72" i="10"/>
  <c r="F72" i="10"/>
  <c r="G72" i="10"/>
  <c r="H72" i="10"/>
  <c r="I72" i="10"/>
  <c r="A73" i="10"/>
  <c r="B73" i="10"/>
  <c r="C73" i="10"/>
  <c r="D73" i="10"/>
  <c r="E73" i="10"/>
  <c r="F73" i="10"/>
  <c r="G73" i="10"/>
  <c r="H73" i="10"/>
  <c r="I73" i="10"/>
  <c r="A74" i="10"/>
  <c r="B74" i="10"/>
  <c r="C74" i="10"/>
  <c r="D74" i="10"/>
  <c r="E74" i="10"/>
  <c r="F74" i="10"/>
  <c r="G74" i="10"/>
  <c r="H74" i="10"/>
  <c r="I74" i="10"/>
  <c r="A75" i="10"/>
  <c r="B75" i="10"/>
  <c r="C75" i="10"/>
  <c r="D75" i="10"/>
  <c r="E75" i="10"/>
  <c r="F75" i="10"/>
  <c r="G75" i="10"/>
  <c r="H75" i="10"/>
  <c r="I75" i="10"/>
  <c r="A76" i="10"/>
  <c r="B76" i="10"/>
  <c r="C76" i="10"/>
  <c r="D76" i="10"/>
  <c r="E76" i="10"/>
  <c r="F76" i="10"/>
  <c r="G76" i="10"/>
  <c r="H76" i="10"/>
  <c r="I76" i="10"/>
  <c r="A77" i="10"/>
  <c r="B77" i="10"/>
  <c r="C77" i="10"/>
  <c r="D77" i="10"/>
  <c r="E77" i="10"/>
  <c r="F77" i="10"/>
  <c r="G77" i="10"/>
  <c r="H77" i="10"/>
  <c r="I77" i="10"/>
  <c r="A78" i="10"/>
  <c r="B78" i="10"/>
  <c r="C78" i="10"/>
  <c r="D78" i="10"/>
  <c r="E78" i="10"/>
  <c r="F78" i="10"/>
  <c r="G78" i="10"/>
  <c r="H78" i="10"/>
  <c r="I78" i="10"/>
  <c r="A79" i="10"/>
  <c r="B79" i="10"/>
  <c r="C79" i="10"/>
  <c r="D79" i="10"/>
  <c r="E79" i="10"/>
  <c r="F79" i="10"/>
  <c r="G79" i="10"/>
  <c r="H79" i="10"/>
  <c r="I79" i="10"/>
  <c r="A80" i="10"/>
  <c r="B80" i="10"/>
  <c r="C80" i="10"/>
  <c r="D80" i="10"/>
  <c r="E80" i="10"/>
  <c r="F80" i="10"/>
  <c r="G80" i="10"/>
  <c r="H80" i="10"/>
  <c r="I80" i="10"/>
  <c r="A81" i="10"/>
  <c r="B81" i="10"/>
  <c r="C81" i="10"/>
  <c r="D81" i="10"/>
  <c r="E81" i="10"/>
  <c r="F81" i="10"/>
  <c r="G81" i="10"/>
  <c r="H81" i="10"/>
  <c r="I81" i="10"/>
  <c r="A82" i="10"/>
  <c r="B82" i="10"/>
  <c r="C82" i="10"/>
  <c r="D82" i="10"/>
  <c r="E82" i="10"/>
  <c r="F82" i="10"/>
  <c r="G82" i="10"/>
  <c r="H82" i="10"/>
  <c r="I82" i="10"/>
  <c r="A83" i="10"/>
  <c r="B83" i="10"/>
  <c r="C83" i="10"/>
  <c r="D83" i="10"/>
  <c r="E83" i="10"/>
  <c r="F83" i="10"/>
  <c r="G83" i="10"/>
  <c r="H83" i="10"/>
  <c r="I83" i="10"/>
  <c r="A84" i="10"/>
  <c r="B84" i="10"/>
  <c r="C84" i="10"/>
  <c r="D84" i="10"/>
  <c r="E84" i="10"/>
  <c r="F84" i="10"/>
  <c r="G84" i="10"/>
  <c r="H84" i="10"/>
  <c r="I84" i="10"/>
  <c r="A85" i="10"/>
  <c r="B85" i="10"/>
  <c r="C85" i="10"/>
  <c r="D85" i="10"/>
  <c r="E85" i="10"/>
  <c r="F85" i="10"/>
  <c r="G85" i="10"/>
  <c r="H85" i="10"/>
  <c r="I85" i="10"/>
  <c r="A86" i="10"/>
  <c r="B86" i="10"/>
  <c r="C86" i="10"/>
  <c r="D86" i="10"/>
  <c r="E86" i="10"/>
  <c r="F86" i="10"/>
  <c r="G86" i="10"/>
  <c r="H86" i="10"/>
  <c r="I86" i="10"/>
  <c r="A87" i="10"/>
  <c r="B87" i="10"/>
  <c r="C87" i="10"/>
  <c r="D87" i="10"/>
  <c r="E87" i="10"/>
  <c r="F87" i="10"/>
  <c r="G87" i="10"/>
  <c r="H87" i="10"/>
  <c r="I87" i="10"/>
  <c r="A88" i="10"/>
  <c r="B88" i="10"/>
  <c r="C88" i="10"/>
  <c r="D88" i="10"/>
  <c r="E88" i="10"/>
  <c r="F88" i="10"/>
  <c r="G88" i="10"/>
  <c r="H88" i="10"/>
  <c r="I88" i="10"/>
  <c r="A89" i="10"/>
  <c r="B89" i="10"/>
  <c r="C89" i="10"/>
  <c r="D89" i="10"/>
  <c r="E89" i="10"/>
  <c r="F89" i="10"/>
  <c r="G89" i="10"/>
  <c r="H89" i="10"/>
  <c r="I89" i="10"/>
  <c r="A90" i="10"/>
  <c r="B90" i="10"/>
  <c r="C90" i="10"/>
  <c r="D90" i="10"/>
  <c r="E90" i="10"/>
  <c r="F90" i="10"/>
  <c r="G90" i="10"/>
  <c r="H90" i="10"/>
  <c r="I90" i="10"/>
  <c r="A91" i="10"/>
  <c r="B91" i="10"/>
  <c r="C91" i="10"/>
  <c r="D91" i="10"/>
  <c r="E91" i="10"/>
  <c r="F91" i="10"/>
  <c r="G91" i="10"/>
  <c r="H91" i="10"/>
  <c r="I91" i="10"/>
  <c r="A92" i="10"/>
  <c r="B92" i="10"/>
  <c r="C92" i="10"/>
  <c r="D92" i="10"/>
  <c r="E92" i="10"/>
  <c r="F92" i="10"/>
  <c r="G92" i="10"/>
  <c r="H92" i="10"/>
  <c r="I92" i="10"/>
  <c r="A93" i="10"/>
  <c r="B93" i="10"/>
  <c r="C93" i="10"/>
  <c r="D93" i="10"/>
  <c r="E93" i="10"/>
  <c r="F93" i="10"/>
  <c r="G93" i="10"/>
  <c r="H93" i="10"/>
  <c r="I93" i="10"/>
  <c r="A94" i="10"/>
  <c r="B94" i="10"/>
  <c r="C94" i="10"/>
  <c r="D94" i="10"/>
  <c r="E94" i="10"/>
  <c r="F94" i="10"/>
  <c r="G94" i="10"/>
  <c r="H94" i="10"/>
  <c r="I94" i="10"/>
  <c r="A95" i="10"/>
  <c r="B95" i="10"/>
  <c r="C95" i="10"/>
  <c r="D95" i="10"/>
  <c r="E95" i="10"/>
  <c r="F95" i="10"/>
  <c r="G95" i="10"/>
  <c r="H95" i="10"/>
  <c r="I95" i="10"/>
  <c r="A96" i="10"/>
  <c r="B96" i="10"/>
  <c r="C96" i="10"/>
  <c r="D96" i="10"/>
  <c r="E96" i="10"/>
  <c r="F96" i="10"/>
  <c r="G96" i="10"/>
  <c r="H96" i="10"/>
  <c r="I96" i="10"/>
  <c r="A97" i="10"/>
  <c r="B97" i="10"/>
  <c r="C97" i="10"/>
  <c r="D97" i="10"/>
  <c r="E97" i="10"/>
  <c r="F97" i="10"/>
  <c r="G97" i="10"/>
  <c r="H97" i="10"/>
  <c r="I97" i="10"/>
  <c r="A98" i="10"/>
  <c r="B98" i="10"/>
  <c r="C98" i="10"/>
  <c r="D98" i="10"/>
  <c r="E98" i="10"/>
  <c r="F98" i="10"/>
  <c r="G98" i="10"/>
  <c r="H98" i="10"/>
  <c r="I98" i="10"/>
  <c r="A99" i="10"/>
  <c r="B99" i="10"/>
  <c r="C99" i="10"/>
  <c r="D99" i="10"/>
  <c r="E99" i="10"/>
  <c r="F99" i="10"/>
  <c r="G99" i="10"/>
  <c r="H99" i="10"/>
  <c r="I99" i="10"/>
  <c r="A100" i="10"/>
  <c r="B100" i="10"/>
  <c r="C100" i="10"/>
  <c r="D100" i="10"/>
  <c r="E100" i="10"/>
  <c r="F100" i="10"/>
  <c r="G100" i="10"/>
  <c r="H100" i="10"/>
  <c r="I100" i="10"/>
  <c r="A101" i="10"/>
  <c r="B101" i="10"/>
  <c r="C101" i="10"/>
  <c r="D101" i="10"/>
  <c r="E101" i="10"/>
  <c r="F101" i="10"/>
  <c r="G101" i="10"/>
  <c r="H101" i="10"/>
  <c r="I101" i="10"/>
  <c r="A102" i="10"/>
  <c r="B102" i="10"/>
  <c r="C102" i="10"/>
  <c r="D102" i="10"/>
  <c r="E102" i="10"/>
  <c r="F102" i="10"/>
  <c r="G102" i="10"/>
  <c r="H102" i="10"/>
  <c r="I102" i="10"/>
  <c r="A103" i="10"/>
  <c r="B103" i="10"/>
  <c r="C103" i="10"/>
  <c r="D103" i="10"/>
  <c r="E103" i="10"/>
  <c r="F103" i="10"/>
  <c r="G103" i="10"/>
  <c r="H103" i="10"/>
  <c r="I103" i="10"/>
  <c r="A104" i="10"/>
  <c r="B104" i="10"/>
  <c r="C104" i="10"/>
  <c r="D104" i="10"/>
  <c r="E104" i="10"/>
  <c r="F104" i="10"/>
  <c r="G104" i="10"/>
  <c r="H104" i="10"/>
  <c r="I104" i="10"/>
  <c r="A105" i="10"/>
  <c r="B105" i="10"/>
  <c r="C105" i="10"/>
  <c r="D105" i="10"/>
  <c r="E105" i="10"/>
  <c r="F105" i="10"/>
  <c r="G105" i="10"/>
  <c r="H105" i="10"/>
  <c r="I105" i="10"/>
  <c r="A106" i="10"/>
  <c r="B106" i="10"/>
  <c r="C106" i="10"/>
  <c r="D106" i="10"/>
  <c r="E106" i="10"/>
  <c r="F106" i="10"/>
  <c r="G106" i="10"/>
  <c r="H106" i="10"/>
  <c r="I106" i="10"/>
  <c r="A107" i="10"/>
  <c r="B107" i="10"/>
  <c r="C107" i="10"/>
  <c r="D107" i="10"/>
  <c r="E107" i="10"/>
  <c r="F107" i="10"/>
  <c r="G107" i="10"/>
  <c r="H107" i="10"/>
  <c r="I107" i="10"/>
  <c r="A108" i="10"/>
  <c r="B108" i="10"/>
  <c r="C108" i="10"/>
  <c r="D108" i="10"/>
  <c r="E108" i="10"/>
  <c r="F108" i="10"/>
  <c r="G108" i="10"/>
  <c r="H108" i="10"/>
  <c r="I108" i="10"/>
  <c r="A109" i="10"/>
  <c r="B109" i="10"/>
  <c r="C109" i="10"/>
  <c r="D109" i="10"/>
  <c r="E109" i="10"/>
  <c r="F109" i="10"/>
  <c r="G109" i="10"/>
  <c r="H109" i="10"/>
  <c r="I109" i="10"/>
  <c r="A110" i="10"/>
  <c r="B110" i="10"/>
  <c r="C110" i="10"/>
  <c r="D110" i="10"/>
  <c r="E110" i="10"/>
  <c r="F110" i="10"/>
  <c r="G110" i="10"/>
  <c r="H110" i="10"/>
  <c r="I110" i="10"/>
  <c r="A111" i="10"/>
  <c r="B111" i="10"/>
  <c r="C111" i="10"/>
  <c r="D111" i="10"/>
  <c r="E111" i="10"/>
  <c r="F111" i="10"/>
  <c r="G111" i="10"/>
  <c r="H111" i="10"/>
  <c r="I111" i="10"/>
  <c r="A112" i="10"/>
  <c r="B112" i="10"/>
  <c r="C112" i="10"/>
  <c r="D112" i="10"/>
  <c r="E112" i="10"/>
  <c r="F112" i="10"/>
  <c r="G112" i="10"/>
  <c r="H112" i="10"/>
  <c r="I112" i="10"/>
  <c r="A113" i="10"/>
  <c r="B113" i="10"/>
  <c r="C113" i="10"/>
  <c r="D113" i="10"/>
  <c r="E113" i="10"/>
  <c r="F113" i="10"/>
  <c r="G113" i="10"/>
  <c r="H113" i="10"/>
  <c r="I113" i="10"/>
  <c r="A114" i="10"/>
  <c r="B114" i="10"/>
  <c r="C114" i="10"/>
  <c r="D114" i="10"/>
  <c r="E114" i="10"/>
  <c r="F114" i="10"/>
  <c r="G114" i="10"/>
  <c r="H114" i="10"/>
  <c r="I114" i="10"/>
  <c r="A115" i="10"/>
  <c r="B115" i="10"/>
  <c r="C115" i="10"/>
  <c r="D115" i="10"/>
  <c r="E115" i="10"/>
  <c r="F115" i="10"/>
  <c r="G115" i="10"/>
  <c r="H115" i="10"/>
  <c r="I115" i="10"/>
  <c r="A116" i="10"/>
  <c r="B116" i="10"/>
  <c r="C116" i="10"/>
  <c r="D116" i="10"/>
  <c r="E116" i="10"/>
  <c r="F116" i="10"/>
  <c r="G116" i="10"/>
  <c r="H116" i="10"/>
  <c r="I116" i="10"/>
  <c r="A117" i="10"/>
  <c r="B117" i="10"/>
  <c r="C117" i="10"/>
  <c r="D117" i="10"/>
  <c r="E117" i="10"/>
  <c r="F117" i="10"/>
  <c r="G117" i="10"/>
  <c r="H117" i="10"/>
  <c r="I117" i="10"/>
  <c r="A118" i="10"/>
  <c r="B118" i="10"/>
  <c r="C118" i="10"/>
  <c r="D118" i="10"/>
  <c r="E118" i="10"/>
  <c r="F118" i="10"/>
  <c r="G118" i="10"/>
  <c r="H118" i="10"/>
  <c r="I118" i="10"/>
  <c r="A119" i="10"/>
  <c r="B119" i="10"/>
  <c r="C119" i="10"/>
  <c r="D119" i="10"/>
  <c r="E119" i="10"/>
  <c r="F119" i="10"/>
  <c r="G119" i="10"/>
  <c r="H119" i="10"/>
  <c r="I119" i="10"/>
  <c r="A120" i="10"/>
  <c r="B120" i="10"/>
  <c r="C120" i="10"/>
  <c r="D120" i="10"/>
  <c r="E120" i="10"/>
  <c r="F120" i="10"/>
  <c r="G120" i="10"/>
  <c r="H120" i="10"/>
  <c r="I120" i="10"/>
  <c r="A121" i="10"/>
  <c r="B121" i="10"/>
  <c r="C121" i="10"/>
  <c r="D121" i="10"/>
  <c r="E121" i="10"/>
  <c r="F121" i="10"/>
  <c r="G121" i="10"/>
  <c r="H121" i="10"/>
  <c r="I121" i="10"/>
  <c r="A122" i="10"/>
  <c r="B122" i="10"/>
  <c r="C122" i="10"/>
  <c r="D122" i="10"/>
  <c r="E122" i="10"/>
  <c r="F122" i="10"/>
  <c r="G122" i="10"/>
  <c r="H122" i="10"/>
  <c r="I122" i="10"/>
  <c r="A123" i="10"/>
  <c r="B123" i="10"/>
  <c r="C123" i="10"/>
  <c r="D123" i="10"/>
  <c r="E123" i="10"/>
  <c r="F123" i="10"/>
  <c r="G123" i="10"/>
  <c r="H123" i="10"/>
  <c r="I123" i="10"/>
  <c r="A124" i="10"/>
  <c r="B124" i="10"/>
  <c r="C124" i="10"/>
  <c r="D124" i="10"/>
  <c r="E124" i="10"/>
  <c r="F124" i="10"/>
  <c r="G124" i="10"/>
  <c r="H124" i="10"/>
  <c r="I124" i="10"/>
  <c r="A125" i="10"/>
  <c r="B125" i="10"/>
  <c r="C125" i="10"/>
  <c r="D125" i="10"/>
  <c r="E125" i="10"/>
  <c r="F125" i="10"/>
  <c r="G125" i="10"/>
  <c r="H125" i="10"/>
  <c r="I125" i="10"/>
  <c r="A126" i="10"/>
  <c r="B126" i="10"/>
  <c r="C126" i="10"/>
  <c r="D126" i="10"/>
  <c r="E126" i="10"/>
  <c r="F126" i="10"/>
  <c r="G126" i="10"/>
  <c r="H126" i="10"/>
  <c r="I126" i="10"/>
  <c r="A127" i="10"/>
  <c r="B127" i="10"/>
  <c r="C127" i="10"/>
  <c r="D127" i="10"/>
  <c r="E127" i="10"/>
  <c r="F127" i="10"/>
  <c r="G127" i="10"/>
  <c r="H127" i="10"/>
  <c r="I127" i="10"/>
  <c r="A128" i="10"/>
  <c r="B128" i="10"/>
  <c r="C128" i="10"/>
  <c r="D128" i="10"/>
  <c r="E128" i="10"/>
  <c r="F128" i="10"/>
  <c r="G128" i="10"/>
  <c r="H128" i="10"/>
  <c r="I128" i="10"/>
  <c r="A129" i="10"/>
  <c r="B129" i="10"/>
  <c r="C129" i="10"/>
  <c r="D129" i="10"/>
  <c r="E129" i="10"/>
  <c r="F129" i="10"/>
  <c r="G129" i="10"/>
  <c r="H129" i="10"/>
  <c r="I129" i="10"/>
  <c r="A130" i="10"/>
  <c r="B130" i="10"/>
  <c r="C130" i="10"/>
  <c r="D130" i="10"/>
  <c r="E130" i="10"/>
  <c r="F130" i="10"/>
  <c r="G130" i="10"/>
  <c r="H130" i="10"/>
  <c r="I130" i="10"/>
  <c r="A131" i="10"/>
  <c r="B131" i="10"/>
  <c r="C131" i="10"/>
  <c r="D131" i="10"/>
  <c r="E131" i="10"/>
  <c r="F131" i="10"/>
  <c r="G131" i="10"/>
  <c r="H131" i="10"/>
  <c r="I131" i="10"/>
  <c r="A132" i="10"/>
  <c r="B132" i="10"/>
  <c r="C132" i="10"/>
  <c r="D132" i="10"/>
  <c r="E132" i="10"/>
  <c r="F132" i="10"/>
  <c r="G132" i="10"/>
  <c r="H132" i="10"/>
  <c r="I132" i="10"/>
  <c r="A133" i="10"/>
  <c r="B133" i="10"/>
  <c r="C133" i="10"/>
  <c r="D133" i="10"/>
  <c r="E133" i="10"/>
  <c r="F133" i="10"/>
  <c r="G133" i="10"/>
  <c r="H133" i="10"/>
  <c r="I133" i="10"/>
  <c r="A134" i="10"/>
  <c r="B134" i="10"/>
  <c r="C134" i="10"/>
  <c r="D134" i="10"/>
  <c r="E134" i="10"/>
  <c r="F134" i="10"/>
  <c r="G134" i="10"/>
  <c r="H134" i="10"/>
  <c r="I134" i="10"/>
  <c r="A135" i="10"/>
  <c r="B135" i="10"/>
  <c r="C135" i="10"/>
  <c r="D135" i="10"/>
  <c r="E135" i="10"/>
  <c r="F135" i="10"/>
  <c r="G135" i="10"/>
  <c r="H135" i="10"/>
  <c r="I135" i="10"/>
  <c r="A136" i="10"/>
  <c r="B136" i="10"/>
  <c r="C136" i="10"/>
  <c r="D136" i="10"/>
  <c r="E136" i="10"/>
  <c r="F136" i="10"/>
  <c r="G136" i="10"/>
  <c r="H136" i="10"/>
  <c r="I136" i="10"/>
  <c r="A137" i="10"/>
  <c r="B137" i="10"/>
  <c r="C137" i="10"/>
  <c r="D137" i="10"/>
  <c r="E137" i="10"/>
  <c r="F137" i="10"/>
  <c r="G137" i="10"/>
  <c r="H137" i="10"/>
  <c r="I137" i="10"/>
  <c r="A138" i="10"/>
  <c r="B138" i="10"/>
  <c r="C138" i="10"/>
  <c r="D138" i="10"/>
  <c r="E138" i="10"/>
  <c r="F138" i="10"/>
  <c r="G138" i="10"/>
  <c r="H138" i="10"/>
  <c r="I138" i="10"/>
  <c r="A139" i="10"/>
  <c r="B139" i="10"/>
  <c r="C139" i="10"/>
  <c r="D139" i="10"/>
  <c r="E139" i="10"/>
  <c r="F139" i="10"/>
  <c r="G139" i="10"/>
  <c r="H139" i="10"/>
  <c r="I139" i="10"/>
  <c r="A140" i="10"/>
  <c r="B140" i="10"/>
  <c r="C140" i="10"/>
  <c r="D140" i="10"/>
  <c r="E140" i="10"/>
  <c r="F140" i="10"/>
  <c r="G140" i="10"/>
  <c r="H140" i="10"/>
  <c r="I140" i="10"/>
  <c r="A141" i="10"/>
  <c r="B141" i="10"/>
  <c r="C141" i="10"/>
  <c r="D141" i="10"/>
  <c r="E141" i="10"/>
  <c r="F141" i="10"/>
  <c r="G141" i="10"/>
  <c r="H141" i="10"/>
  <c r="I141" i="10"/>
  <c r="A142" i="10"/>
  <c r="B142" i="10"/>
  <c r="C142" i="10"/>
  <c r="D142" i="10"/>
  <c r="E142" i="10"/>
  <c r="F142" i="10"/>
  <c r="G142" i="10"/>
  <c r="H142" i="10"/>
  <c r="I142" i="10"/>
  <c r="A143" i="10"/>
  <c r="B143" i="10"/>
  <c r="C143" i="10"/>
  <c r="D143" i="10"/>
  <c r="E143" i="10"/>
  <c r="F143" i="10"/>
  <c r="G143" i="10"/>
  <c r="H143" i="10"/>
  <c r="I143" i="10"/>
  <c r="A144" i="10"/>
  <c r="B144" i="10"/>
  <c r="C144" i="10"/>
  <c r="D144" i="10"/>
  <c r="E144" i="10"/>
  <c r="F144" i="10"/>
  <c r="G144" i="10"/>
  <c r="H144" i="10"/>
  <c r="I144" i="10"/>
  <c r="A145" i="10"/>
  <c r="B145" i="10"/>
  <c r="C145" i="10"/>
  <c r="D145" i="10"/>
  <c r="E145" i="10"/>
  <c r="F145" i="10"/>
  <c r="G145" i="10"/>
  <c r="H145" i="10"/>
  <c r="I145" i="10"/>
  <c r="A146" i="10"/>
  <c r="B146" i="10"/>
  <c r="C146" i="10"/>
  <c r="D146" i="10"/>
  <c r="E146" i="10"/>
  <c r="F146" i="10"/>
  <c r="G146" i="10"/>
  <c r="H146" i="10"/>
  <c r="I146" i="10"/>
  <c r="A147" i="10"/>
  <c r="B147" i="10"/>
  <c r="C147" i="10"/>
  <c r="D147" i="10"/>
  <c r="E147" i="10"/>
  <c r="F147" i="10"/>
  <c r="G147" i="10"/>
  <c r="H147" i="10"/>
  <c r="I147" i="10"/>
  <c r="A148" i="10"/>
  <c r="B148" i="10"/>
  <c r="C148" i="10"/>
  <c r="D148" i="10"/>
  <c r="E148" i="10"/>
  <c r="F148" i="10"/>
  <c r="G148" i="10"/>
  <c r="H148" i="10"/>
  <c r="I148" i="10"/>
  <c r="A149" i="10"/>
  <c r="B149" i="10"/>
  <c r="C149" i="10"/>
  <c r="D149" i="10"/>
  <c r="E149" i="10"/>
  <c r="F149" i="10"/>
  <c r="G149" i="10"/>
  <c r="H149" i="10"/>
  <c r="I149" i="10"/>
  <c r="A150" i="10"/>
  <c r="B150" i="10"/>
  <c r="C150" i="10"/>
  <c r="D150" i="10"/>
  <c r="E150" i="10"/>
  <c r="F150" i="10"/>
  <c r="G150" i="10"/>
  <c r="H150" i="10"/>
  <c r="I150" i="10"/>
  <c r="A151" i="10"/>
  <c r="B151" i="10"/>
  <c r="C151" i="10"/>
  <c r="D151" i="10"/>
  <c r="E151" i="10"/>
  <c r="F151" i="10"/>
  <c r="G151" i="10"/>
  <c r="H151" i="10"/>
  <c r="I151" i="10"/>
  <c r="A152" i="10"/>
  <c r="B152" i="10"/>
  <c r="C152" i="10"/>
  <c r="D152" i="10"/>
  <c r="E152" i="10"/>
  <c r="F152" i="10"/>
  <c r="G152" i="10"/>
  <c r="H152" i="10"/>
  <c r="I152" i="10"/>
  <c r="A153" i="10"/>
  <c r="B153" i="10"/>
  <c r="C153" i="10"/>
  <c r="D153" i="10"/>
  <c r="E153" i="10"/>
  <c r="F153" i="10"/>
  <c r="G153" i="10"/>
  <c r="H153" i="10"/>
  <c r="I153" i="10"/>
  <c r="A154" i="10"/>
  <c r="B154" i="10"/>
  <c r="C154" i="10"/>
  <c r="D154" i="10"/>
  <c r="E154" i="10"/>
  <c r="F154" i="10"/>
  <c r="G154" i="10"/>
  <c r="H154" i="10"/>
  <c r="I154" i="10"/>
  <c r="A155" i="10"/>
  <c r="B155" i="10"/>
  <c r="C155" i="10"/>
  <c r="D155" i="10"/>
  <c r="E155" i="10"/>
  <c r="F155" i="10"/>
  <c r="G155" i="10"/>
  <c r="H155" i="10"/>
  <c r="I155" i="10"/>
  <c r="A156" i="10"/>
  <c r="B156" i="10"/>
  <c r="C156" i="10"/>
  <c r="D156" i="10"/>
  <c r="E156" i="10"/>
  <c r="F156" i="10"/>
  <c r="G156" i="10"/>
  <c r="H156" i="10"/>
  <c r="I156" i="10"/>
  <c r="A157" i="10"/>
  <c r="B157" i="10"/>
  <c r="C157" i="10"/>
  <c r="D157" i="10"/>
  <c r="E157" i="10"/>
  <c r="F157" i="10"/>
  <c r="G157" i="10"/>
  <c r="H157" i="10"/>
  <c r="I157" i="10"/>
  <c r="A158" i="10"/>
  <c r="B158" i="10"/>
  <c r="C158" i="10"/>
  <c r="D158" i="10"/>
  <c r="E158" i="10"/>
  <c r="F158" i="10"/>
  <c r="G158" i="10"/>
  <c r="H158" i="10"/>
  <c r="I158" i="10"/>
  <c r="A159" i="10"/>
  <c r="B159" i="10"/>
  <c r="C159" i="10"/>
  <c r="D159" i="10"/>
  <c r="E159" i="10"/>
  <c r="F159" i="10"/>
  <c r="G159" i="10"/>
  <c r="H159" i="10"/>
  <c r="I159" i="10"/>
  <c r="A160" i="10"/>
  <c r="B160" i="10"/>
  <c r="C160" i="10"/>
  <c r="D160" i="10"/>
  <c r="E160" i="10"/>
  <c r="F160" i="10"/>
  <c r="G160" i="10"/>
  <c r="H160" i="10"/>
  <c r="I160" i="10"/>
  <c r="A161" i="10"/>
  <c r="B161" i="10"/>
  <c r="C161" i="10"/>
  <c r="D161" i="10"/>
  <c r="E161" i="10"/>
  <c r="F161" i="10"/>
  <c r="G161" i="10"/>
  <c r="H161" i="10"/>
  <c r="I161" i="10"/>
  <c r="A162" i="10"/>
  <c r="B162" i="10"/>
  <c r="C162" i="10"/>
  <c r="D162" i="10"/>
  <c r="E162" i="10"/>
  <c r="F162" i="10"/>
  <c r="G162" i="10"/>
  <c r="H162" i="10"/>
  <c r="I162" i="10"/>
  <c r="A163" i="10"/>
  <c r="B163" i="10"/>
  <c r="C163" i="10"/>
  <c r="D163" i="10"/>
  <c r="E163" i="10"/>
  <c r="F163" i="10"/>
  <c r="G163" i="10"/>
  <c r="H163" i="10"/>
  <c r="I163" i="10"/>
  <c r="A164" i="10"/>
  <c r="B164" i="10"/>
  <c r="C164" i="10"/>
  <c r="D164" i="10"/>
  <c r="E164" i="10"/>
  <c r="F164" i="10"/>
  <c r="G164" i="10"/>
  <c r="H164" i="10"/>
  <c r="I164" i="10"/>
  <c r="A165" i="10"/>
  <c r="B165" i="10"/>
  <c r="C165" i="10"/>
  <c r="D165" i="10"/>
  <c r="E165" i="10"/>
  <c r="F165" i="10"/>
  <c r="G165" i="10"/>
  <c r="H165" i="10"/>
  <c r="I165" i="10"/>
  <c r="A166" i="10"/>
  <c r="B166" i="10"/>
  <c r="C166" i="10"/>
  <c r="D166" i="10"/>
  <c r="E166" i="10"/>
  <c r="F166" i="10"/>
  <c r="G166" i="10"/>
  <c r="H166" i="10"/>
  <c r="I166" i="10"/>
  <c r="A167" i="10"/>
  <c r="B167" i="10"/>
  <c r="C167" i="10"/>
  <c r="D167" i="10"/>
  <c r="E167" i="10"/>
  <c r="F167" i="10"/>
  <c r="G167" i="10"/>
  <c r="H167" i="10"/>
  <c r="I167" i="10"/>
  <c r="A168" i="10"/>
  <c r="B168" i="10"/>
  <c r="C168" i="10"/>
  <c r="D168" i="10"/>
  <c r="E168" i="10"/>
  <c r="F168" i="10"/>
  <c r="G168" i="10"/>
  <c r="H168" i="10"/>
  <c r="I168" i="10"/>
  <c r="H2" i="5"/>
  <c r="H3" i="5"/>
  <c r="H4" i="5"/>
  <c r="H5" i="5"/>
  <c r="H6" i="5"/>
  <c r="G2" i="5"/>
  <c r="G3" i="5"/>
  <c r="G4" i="5"/>
  <c r="G5" i="5"/>
  <c r="G6" i="5"/>
  <c r="F2" i="5"/>
  <c r="F3" i="5"/>
  <c r="F4" i="5"/>
  <c r="F5" i="5"/>
  <c r="F6" i="5"/>
  <c r="E2" i="5" a="1"/>
  <c r="E3" i="5" a="1"/>
  <c r="E4" i="5" a="1"/>
  <c r="E5" i="5" a="1"/>
  <c r="E6" i="5" a="1"/>
  <c r="C2" i="5"/>
  <c r="C3" i="5"/>
  <c r="C4" i="5"/>
  <c r="C5" i="5"/>
  <c r="C6" i="5"/>
  <c r="A2" i="5"/>
  <c r="A3" i="5"/>
  <c r="A4" i="5"/>
  <c r="A5" i="5"/>
  <c r="A6" i="5"/>
  <c r="H2" i="4"/>
  <c r="H3" i="4"/>
  <c r="H4" i="4"/>
  <c r="H5" i="4"/>
  <c r="H6" i="4"/>
  <c r="G2" i="4"/>
  <c r="G3" i="4"/>
  <c r="G4" i="4"/>
  <c r="G5" i="4"/>
  <c r="G6" i="4"/>
  <c r="F2" i="4"/>
  <c r="F3" i="4"/>
  <c r="F4" i="4"/>
  <c r="F5" i="4"/>
  <c r="F6" i="4"/>
  <c r="E2" i="4"/>
  <c r="E3" i="4"/>
  <c r="E4" i="4"/>
  <c r="E5" i="4"/>
  <c r="E6" i="4"/>
  <c r="D2" i="4"/>
  <c r="D3" i="4"/>
  <c r="D4" i="4"/>
  <c r="D5" i="4"/>
  <c r="D6" i="4"/>
  <c r="B2" i="4"/>
  <c r="B3" i="4"/>
  <c r="B4" i="4"/>
  <c r="B5" i="4"/>
  <c r="B6" i="4"/>
  <c r="A2" i="3"/>
  <c r="A3"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D26" i="6"/>
  <c r="D27" i="6"/>
  <c r="D28" i="6"/>
  <c r="D29" i="6"/>
  <c r="D30" i="6"/>
  <c r="D31" i="6"/>
  <c r="D8" i="6"/>
  <c r="D9" i="6"/>
  <c r="D10" i="6"/>
  <c r="D11" i="6"/>
  <c r="D12" i="6"/>
  <c r="A8" i="6"/>
  <c r="A9" i="6"/>
  <c r="A10" i="6"/>
  <c r="A11" i="6"/>
  <c r="A12" i="6"/>
  <c r="A26" i="6"/>
  <c r="A27" i="6"/>
  <c r="A28" i="6"/>
  <c r="A29" i="6"/>
  <c r="A30" i="6"/>
  <c r="E31" i="6" l="1"/>
  <c r="E30" i="6"/>
  <c r="E27" i="6"/>
  <c r="E29" i="6"/>
  <c r="C4" i="6"/>
  <c r="A4" i="6"/>
  <c r="E26" i="6"/>
  <c r="E28" i="6"/>
  <c r="B4" i="6"/>
  <c r="D4" i="6"/>
  <c r="B26" i="6" l="1"/>
  <c r="B28" i="6"/>
  <c r="B30" i="6"/>
  <c r="B27" i="6"/>
  <c r="B29" i="6"/>
  <c r="B10" i="6"/>
  <c r="B8" i="6"/>
  <c r="B11" i="6"/>
  <c r="B9" i="6"/>
  <c r="B12" i="6"/>
  <c r="E9" i="6"/>
  <c r="E12" i="6"/>
  <c r="E10" i="6"/>
  <c r="E8" i="6"/>
  <c r="E11"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<sst xmlns="http://schemas.openxmlformats.org/spreadsheetml/2006/main" count="261" uniqueCount="187">
  <si>
    <t>Setting</t>
  </si>
  <si>
    <t>Value</t>
  </si>
  <si>
    <t>Locations</t>
  </si>
  <si>
    <t>Store A</t>
  </si>
  <si>
    <t>Store B</t>
  </si>
  <si>
    <t>Store C</t>
  </si>
  <si>
    <t>Categories</t>
  </si>
  <si>
    <t>Apparel</t>
  </si>
  <si>
    <t>Food &amp; Drink</t>
  </si>
  <si>
    <t>Lifestyle</t>
  </si>
  <si>
    <t>Stationery</t>
  </si>
  <si>
    <t>Toys &amp; Gadgets</t>
  </si>
  <si>
    <t>Suppliers</t>
  </si>
  <si>
    <t>CozyWear Co.</t>
  </si>
  <si>
    <t>Snack Masters</t>
  </si>
  <si>
    <t>EcoLiving Pty Ltd.</t>
  </si>
  <si>
    <t>PaperWorks Supplies</t>
  </si>
  <si>
    <t>FunZone Imports</t>
  </si>
  <si>
    <t>Transaction Types</t>
  </si>
  <si>
    <t>Sale</t>
  </si>
  <si>
    <t>Purchase</t>
  </si>
  <si>
    <t>Adjustment</t>
  </si>
  <si>
    <t>Opening Stock</t>
  </si>
  <si>
    <t>ProductID</t>
  </si>
  <si>
    <t>ProductName</t>
  </si>
  <si>
    <t>Category</t>
  </si>
  <si>
    <t>UnitCost</t>
  </si>
  <si>
    <t>Supplier</t>
  </si>
  <si>
    <t>ReorderLevel</t>
  </si>
  <si>
    <t>Active</t>
  </si>
  <si>
    <t>Yes</t>
  </si>
  <si>
    <t>TransID</t>
  </si>
  <si>
    <t>Date</t>
  </si>
  <si>
    <t>Location</t>
  </si>
  <si>
    <t>Quantity</t>
  </si>
  <si>
    <t>Type</t>
  </si>
  <si>
    <t>Notes</t>
  </si>
  <si>
    <t>Yes/No</t>
  </si>
  <si>
    <t>No</t>
  </si>
  <si>
    <t>Dropdown Rules</t>
  </si>
  <si>
    <t>Use Settings lists</t>
  </si>
  <si>
    <t>Settings!B6:B10</t>
  </si>
  <si>
    <t>Settings!B12:B16</t>
  </si>
  <si>
    <t>Settings!D2:D3</t>
  </si>
  <si>
    <t>Use these lists</t>
  </si>
  <si>
    <t>Products!A2:A501</t>
  </si>
  <si>
    <t>Settings!B2:B4</t>
  </si>
  <si>
    <t>Settings!B18:B21</t>
  </si>
  <si>
    <t>Receipts positive; sales negative</t>
  </si>
  <si>
    <t>QuantityOnHand</t>
  </si>
  <si>
    <t>StockValue</t>
  </si>
  <si>
    <t>ReorderFlag</t>
  </si>
  <si>
    <t>CurrentStock</t>
  </si>
  <si>
    <t>SuggestedOrderQty</t>
  </si>
  <si>
    <t>TotalCost</t>
  </si>
  <si>
    <t>HESHMATI SOLUTIONS — INVENTORY DASHBOARD</t>
  </si>
  <si>
    <t>Total Stock Value</t>
  </si>
  <si>
    <t>Total Items in Stock</t>
  </si>
  <si>
    <t>Low Stock Items</t>
  </si>
  <si>
    <t>Out of Stock Items</t>
  </si>
  <si>
    <t>Month</t>
  </si>
  <si>
    <t>Net Movement</t>
  </si>
  <si>
    <t>Product</t>
  </si>
  <si>
    <t>Movement</t>
  </si>
  <si>
    <t>User Instruction Manual</t>
  </si>
  <si>
    <t>This manual explains how to set up, use, and maintain your inventory system. It is designed for business owners, store managers, and anyone who needs a simple, reliable way to track stock, sales, purchases, and reorder levels.</t>
  </si>
  <si>
    <t>The system is fully automated using formulas and structured tables.</t>
  </si>
  <si>
    <t>Step 1 — Set Up Your Locations, Categories &amp; Suppliers</t>
  </si>
  <si>
    <t>Store locations</t>
  </si>
  <si>
    <t>Product categories</t>
  </si>
  <si>
    <t>Supplier names</t>
  </si>
  <si>
    <t>Transaction types (optional)</t>
  </si>
  <si>
    <t>These lists automatically feed dropdown menus in other sheets.</t>
  </si>
  <si>
    <t>Each row represents one product. Fill in:</t>
  </si>
  <si>
    <t>Every time stock changes, add a new row:</t>
  </si>
  <si>
    <t>Types of transactions:</t>
  </si>
  <si>
    <t>Required fields:</t>
  </si>
  <si>
    <t>ProductID: P005</t>
  </si>
  <si>
    <t>Location: Store A</t>
  </si>
  <si>
    <t>Type: Sale</t>
  </si>
  <si>
    <t>The system will automatically update stock levels.</t>
  </si>
  <si>
    <t>It automatically calculates:</t>
  </si>
  <si>
    <t>Quantity On Hand</t>
  </si>
  <si>
    <t>Stock Value</t>
  </si>
  <si>
    <t>Each product appears once per location.</t>
  </si>
  <si>
    <t>If you have 3 stores, each product will have 3 rows.</t>
  </si>
  <si>
    <t>For each product, you will see:</t>
  </si>
  <si>
    <t>Current stock</t>
  </si>
  <si>
    <t>Reorder level</t>
  </si>
  <si>
    <t>Suggested order quantity</t>
  </si>
  <si>
    <t>Total cost</t>
  </si>
  <si>
    <t>Use this sheet to create purchase orders.</t>
  </si>
  <si>
    <t>The Dashboard gives you a visual overview of your inventory.</t>
  </si>
  <si>
    <t>It includes:</t>
  </si>
  <si>
    <t>Total stock value</t>
  </si>
  <si>
    <t>Total items in stock</t>
  </si>
  <si>
    <t>Low stock count</t>
  </si>
  <si>
    <t>Stock by category</t>
  </si>
  <si>
    <t>Stock value by supplier</t>
  </si>
  <si>
    <t>Monthly stock movement</t>
  </si>
  <si>
    <t>Fastest moving products</t>
  </si>
  <si>
    <t>Use slicers to filter by:</t>
  </si>
  <si>
    <t>This helps you analyze trends and make better decisions.</t>
  </si>
  <si>
    <t>Never change ProductIDs after transactions have been recorded.</t>
  </si>
  <si>
    <t>This keeps your stock levels accurate.</t>
  </si>
  <si>
    <t>And negative numbers for sales.</t>
  </si>
  <si>
    <t>This ensures you never run out of stock.</t>
  </si>
  <si>
    <t>To avoid accidental edits.</t>
  </si>
  <si>
    <t>Stock levels look incorrect</t>
  </si>
  <si>
    <t>Check for missing transactions</t>
  </si>
  <si>
    <t>Ensure sales are negative</t>
  </si>
  <si>
    <t>Ensure purchases are positive</t>
  </si>
  <si>
    <t>Verify ProductID spelling matches the Products sheet</t>
  </si>
  <si>
    <t>Dashboard not updating</t>
  </si>
  <si>
    <t>Refresh pivot tables</t>
  </si>
  <si>
    <t>Ensure new data is inside the table range</t>
  </si>
  <si>
    <t>Check for blank ProductIDs in Transactions</t>
  </si>
  <si>
    <t>Reorder Report empty</t>
  </si>
  <si>
    <t>No items are below reorder level</t>
  </si>
  <si>
    <t>Or ReorderLevel is set too low</t>
  </si>
  <si>
    <t>Monthly</t>
  </si>
  <si>
    <t>Review inactive products</t>
  </si>
  <si>
    <t>Clean up old transactions</t>
  </si>
  <si>
    <t>Update categories and suppliers</t>
  </si>
  <si>
    <t>Quarterly</t>
  </si>
  <si>
    <t>Audit stock levels</t>
  </si>
  <si>
    <t>Adjust reorder levels</t>
  </si>
  <si>
    <t>Review top-selling items</t>
  </si>
  <si>
    <t>If you are using this system for your business and need customization, automation, or advanced dashboards, Heshmati Solutions can enhance the template to fit your workflow.</t>
  </si>
  <si>
    <r>
      <t>📘</t>
    </r>
    <r>
      <rPr>
        <b/>
        <sz val="12"/>
        <color theme="1"/>
        <rFont val="Aptos"/>
        <family val="2"/>
      </rPr>
      <t xml:space="preserve"> HESHMATI SOLUTIONS — INVENTORY MANAGEMENT SYSTEM</t>
    </r>
  </si>
  <si>
    <r>
      <t>🟦</t>
    </r>
    <r>
      <rPr>
        <b/>
        <sz val="12"/>
        <color theme="1"/>
        <rFont val="Aptos"/>
        <family val="2"/>
      </rPr>
      <t xml:space="preserve"> 1. Overview of the System</t>
    </r>
  </si>
  <si>
    <r>
      <t xml:space="preserve">Your Inventory Management System is built on </t>
    </r>
    <r>
      <rPr>
        <b/>
        <sz val="12"/>
        <color theme="1"/>
        <rFont val="Aptos"/>
        <family val="2"/>
      </rPr>
      <t>seven integrated sheets</t>
    </r>
    <r>
      <rPr>
        <sz val="12"/>
        <color theme="1"/>
        <rFont val="Aptos"/>
        <family val="2"/>
      </rPr>
      <t>:</t>
    </r>
  </si>
  <si>
    <r>
      <t>1. Products</t>
    </r>
    <r>
      <rPr>
        <sz val="12"/>
        <color theme="1"/>
        <rFont val="Aptos"/>
        <family val="2"/>
      </rPr>
      <t xml:space="preserve"> – Master list of all items you sell or stock</t>
    </r>
  </si>
  <si>
    <r>
      <t>2. Transactions</t>
    </r>
    <r>
      <rPr>
        <sz val="12"/>
        <color theme="1"/>
        <rFont val="Aptos"/>
        <family val="2"/>
      </rPr>
      <t xml:space="preserve"> – All stock movement (sales, purchases, adjustments)</t>
    </r>
  </si>
  <si>
    <r>
      <t>3. Inventory</t>
    </r>
    <r>
      <rPr>
        <sz val="12"/>
        <color theme="1"/>
        <rFont val="Aptos"/>
        <family val="2"/>
      </rPr>
      <t xml:space="preserve"> – Automatically calculated stock levels</t>
    </r>
  </si>
  <si>
    <r>
      <t>4. Reorder Report</t>
    </r>
    <r>
      <rPr>
        <sz val="12"/>
        <color theme="1"/>
        <rFont val="Aptos"/>
        <family val="2"/>
      </rPr>
      <t xml:space="preserve"> – Items that need replenishment</t>
    </r>
  </si>
  <si>
    <r>
      <t>5. Dashboard</t>
    </r>
    <r>
      <rPr>
        <sz val="12"/>
        <color theme="1"/>
        <rFont val="Aptos"/>
        <family val="2"/>
      </rPr>
      <t xml:space="preserve"> – Visual summary of stock and performance</t>
    </r>
  </si>
  <si>
    <r>
      <t>6. Settings</t>
    </r>
    <r>
      <rPr>
        <sz val="12"/>
        <color theme="1"/>
        <rFont val="Aptos"/>
        <family val="2"/>
      </rPr>
      <t xml:space="preserve"> – Lists used for dropdown menus</t>
    </r>
  </si>
  <si>
    <r>
      <t>7. Instructions</t>
    </r>
    <r>
      <rPr>
        <sz val="12"/>
        <color theme="1"/>
        <rFont val="Aptos"/>
        <family val="2"/>
      </rPr>
      <t xml:space="preserve"> – This manual</t>
    </r>
  </si>
  <si>
    <r>
      <t>🟦</t>
    </r>
    <r>
      <rPr>
        <b/>
        <sz val="12"/>
        <color theme="1"/>
        <rFont val="Aptos"/>
        <family val="2"/>
      </rPr>
      <t xml:space="preserve"> 2. Getting Started</t>
    </r>
  </si>
  <si>
    <r>
      <t xml:space="preserve">Go to the </t>
    </r>
    <r>
      <rPr>
        <b/>
        <sz val="12"/>
        <color theme="1"/>
        <rFont val="Aptos"/>
        <family val="2"/>
      </rPr>
      <t>Settings</t>
    </r>
    <r>
      <rPr>
        <sz val="12"/>
        <color theme="1"/>
        <rFont val="Aptos"/>
        <family val="2"/>
      </rPr>
      <t xml:space="preserve"> sheet and update:</t>
    </r>
  </si>
  <si>
    <r>
      <t>🟦</t>
    </r>
    <r>
      <rPr>
        <b/>
        <sz val="12"/>
        <color theme="1"/>
        <rFont val="Aptos"/>
        <family val="2"/>
      </rPr>
      <t xml:space="preserve"> 3. Adding Products</t>
    </r>
  </si>
  <si>
    <r>
      <t xml:space="preserve">Go to the </t>
    </r>
    <r>
      <rPr>
        <b/>
        <sz val="12"/>
        <color theme="1"/>
        <rFont val="Aptos"/>
        <family val="2"/>
      </rPr>
      <t>Products</t>
    </r>
    <r>
      <rPr>
        <sz val="12"/>
        <color theme="1"/>
        <rFont val="Aptos"/>
        <family val="2"/>
      </rPr>
      <t xml:space="preserve"> sheet.</t>
    </r>
  </si>
  <si>
    <r>
      <t>ProductID</t>
    </r>
    <r>
      <rPr>
        <sz val="12"/>
        <color theme="1"/>
        <rFont val="Aptos"/>
        <family val="2"/>
      </rPr>
      <t xml:space="preserve"> (unique code, e.g., P001)</t>
    </r>
  </si>
  <si>
    <r>
      <t>Category</t>
    </r>
    <r>
      <rPr>
        <sz val="12"/>
        <color theme="1"/>
        <rFont val="Aptos"/>
        <family val="2"/>
      </rPr>
      <t xml:space="preserve"> (dropdown)</t>
    </r>
  </si>
  <si>
    <r>
      <t>Supplier</t>
    </r>
    <r>
      <rPr>
        <sz val="12"/>
        <color theme="1"/>
        <rFont val="Aptos"/>
        <family val="2"/>
      </rPr>
      <t xml:space="preserve"> (dropdown)</t>
    </r>
  </si>
  <si>
    <r>
      <t>ReorderLevel</t>
    </r>
    <r>
      <rPr>
        <sz val="12"/>
        <color theme="1"/>
        <rFont val="Aptos"/>
        <family val="2"/>
      </rPr>
      <t xml:space="preserve"> (minimum acceptable stock)</t>
    </r>
  </si>
  <si>
    <r>
      <t>Active</t>
    </r>
    <r>
      <rPr>
        <sz val="12"/>
        <color theme="1"/>
        <rFont val="Aptos"/>
        <family val="2"/>
      </rPr>
      <t xml:space="preserve"> (Yes/No)</t>
    </r>
  </si>
  <si>
    <r>
      <t>Tip:</t>
    </r>
    <r>
      <rPr>
        <sz val="12"/>
        <color theme="1"/>
        <rFont val="Aptos"/>
        <family val="2"/>
      </rPr>
      <t xml:space="preserve"> Use consistent ProductIDs — they are the backbone of the entire system.</t>
    </r>
  </si>
  <si>
    <r>
      <t>🟦</t>
    </r>
    <r>
      <rPr>
        <b/>
        <sz val="12"/>
        <color theme="1"/>
        <rFont val="Aptos"/>
        <family val="2"/>
      </rPr>
      <t xml:space="preserve"> 4. Recording Stock Movement</t>
    </r>
  </si>
  <si>
    <r>
      <t xml:space="preserve">Go to the </t>
    </r>
    <r>
      <rPr>
        <b/>
        <sz val="12"/>
        <color theme="1"/>
        <rFont val="Aptos"/>
        <family val="2"/>
      </rPr>
      <t>Transactions</t>
    </r>
    <r>
      <rPr>
        <sz val="12"/>
        <color theme="1"/>
        <rFont val="Aptos"/>
        <family val="2"/>
      </rPr>
      <t xml:space="preserve"> sheet.</t>
    </r>
  </si>
  <si>
    <r>
      <t>Purchase</t>
    </r>
    <r>
      <rPr>
        <sz val="12"/>
        <color theme="1"/>
        <rFont val="Aptos"/>
        <family val="2"/>
      </rPr>
      <t xml:space="preserve"> → Positive quantity</t>
    </r>
  </si>
  <si>
    <r>
      <t>Sale</t>
    </r>
    <r>
      <rPr>
        <sz val="12"/>
        <color theme="1"/>
        <rFont val="Aptos"/>
        <family val="2"/>
      </rPr>
      <t xml:space="preserve"> → Negative quantity</t>
    </r>
  </si>
  <si>
    <r>
      <t>Adjustment</t>
    </r>
    <r>
      <rPr>
        <sz val="12"/>
        <color theme="1"/>
        <rFont val="Aptos"/>
        <family val="2"/>
      </rPr>
      <t xml:space="preserve"> → Positive or negative</t>
    </r>
  </si>
  <si>
    <r>
      <t>Opening Stock</t>
    </r>
    <r>
      <rPr>
        <sz val="12"/>
        <color theme="1"/>
        <rFont val="Aptos"/>
        <family val="2"/>
      </rPr>
      <t xml:space="preserve"> → Initial quantity when starting the system</t>
    </r>
  </si>
  <si>
    <r>
      <t>Example:</t>
    </r>
    <r>
      <rPr>
        <sz val="12"/>
        <color theme="1"/>
        <rFont val="Aptos"/>
        <family val="2"/>
      </rPr>
      <t xml:space="preserve"> If you sold 3 units of P005 at Store A:</t>
    </r>
  </si>
  <si>
    <r>
      <t xml:space="preserve">Quantity: </t>
    </r>
    <r>
      <rPr>
        <b/>
        <sz val="12"/>
        <color theme="1"/>
        <rFont val="Aptos"/>
        <family val="2"/>
      </rPr>
      <t>-3</t>
    </r>
  </si>
  <si>
    <r>
      <t>🟦</t>
    </r>
    <r>
      <rPr>
        <b/>
        <sz val="12"/>
        <color theme="1"/>
        <rFont val="Aptos"/>
        <family val="2"/>
      </rPr>
      <t xml:space="preserve"> 5. Understanding the Inventory Sheet</t>
    </r>
  </si>
  <si>
    <r>
      <t xml:space="preserve">You do </t>
    </r>
    <r>
      <rPr>
        <b/>
        <sz val="12"/>
        <color theme="1"/>
        <rFont val="Aptos"/>
        <family val="2"/>
      </rPr>
      <t>not</t>
    </r>
    <r>
      <rPr>
        <sz val="12"/>
        <color theme="1"/>
        <rFont val="Aptos"/>
        <family val="2"/>
      </rPr>
      <t xml:space="preserve"> need to edit this sheet manually.</t>
    </r>
  </si>
  <si>
    <r>
      <t>Reorder Flag</t>
    </r>
    <r>
      <rPr>
        <sz val="12"/>
        <color theme="1"/>
        <rFont val="Aptos"/>
        <family val="2"/>
      </rPr>
      <t xml:space="preserve"> (Yes/No)</t>
    </r>
  </si>
  <si>
    <r>
      <t>🟦</t>
    </r>
    <r>
      <rPr>
        <b/>
        <sz val="12"/>
        <color theme="1"/>
        <rFont val="Aptos"/>
        <family val="2"/>
      </rPr>
      <t xml:space="preserve"> 6. Using the Reorder Report</t>
    </r>
  </si>
  <si>
    <r>
      <t xml:space="preserve">This sheet shows </t>
    </r>
    <r>
      <rPr>
        <b/>
        <sz val="12"/>
        <color theme="1"/>
        <rFont val="Aptos"/>
        <family val="2"/>
      </rPr>
      <t>only items that need replenishment</t>
    </r>
    <r>
      <rPr>
        <sz val="12"/>
        <color theme="1"/>
        <rFont val="Aptos"/>
        <family val="2"/>
      </rPr>
      <t>.</t>
    </r>
  </si>
  <si>
    <r>
      <t>🟦</t>
    </r>
    <r>
      <rPr>
        <b/>
        <sz val="12"/>
        <color theme="1"/>
        <rFont val="Aptos"/>
        <family val="2"/>
      </rPr>
      <t xml:space="preserve"> 7. Using the Dashboard</t>
    </r>
  </si>
  <si>
    <t>Out‑of‑stock items</t>
  </si>
  <si>
    <r>
      <t>🟦</t>
    </r>
    <r>
      <rPr>
        <b/>
        <sz val="12"/>
        <color theme="1"/>
        <rFont val="Aptos"/>
        <family val="2"/>
      </rPr>
      <t xml:space="preserve"> 8. Best Practices</t>
    </r>
  </si>
  <si>
    <r>
      <t>✔</t>
    </r>
    <r>
      <rPr>
        <b/>
        <sz val="12"/>
        <color theme="1"/>
        <rFont val="Aptos"/>
        <family val="2"/>
      </rPr>
      <t xml:space="preserve"> Keep ProductIDs consistent</t>
    </r>
  </si>
  <si>
    <r>
      <t>✔</t>
    </r>
    <r>
      <rPr>
        <b/>
        <sz val="12"/>
        <color theme="1"/>
        <rFont val="Aptos"/>
        <family val="2"/>
      </rPr>
      <t xml:space="preserve"> Enter transactions daily</t>
    </r>
  </si>
  <si>
    <r>
      <t>✔</t>
    </r>
    <r>
      <rPr>
        <b/>
        <sz val="12"/>
        <color theme="1"/>
        <rFont val="Aptos"/>
        <family val="2"/>
      </rPr>
      <t xml:space="preserve"> Use positive numbers for purchases</t>
    </r>
  </si>
  <si>
    <r>
      <t>✔</t>
    </r>
    <r>
      <rPr>
        <b/>
        <sz val="12"/>
        <color theme="1"/>
        <rFont val="Aptos"/>
        <family val="2"/>
      </rPr>
      <t xml:space="preserve"> Review the Reorder Report weekly</t>
    </r>
  </si>
  <si>
    <r>
      <t>✔</t>
    </r>
    <r>
      <rPr>
        <b/>
        <sz val="12"/>
        <color theme="1"/>
        <rFont val="Aptos"/>
        <family val="2"/>
      </rPr>
      <t xml:space="preserve"> Protect formula sheets</t>
    </r>
  </si>
  <si>
    <r>
      <t>🟦</t>
    </r>
    <r>
      <rPr>
        <b/>
        <sz val="12"/>
        <color theme="1"/>
        <rFont val="Aptos"/>
        <family val="2"/>
      </rPr>
      <t xml:space="preserve"> 9. Troubleshooting</t>
    </r>
  </si>
  <si>
    <r>
      <t>🟦</t>
    </r>
    <r>
      <rPr>
        <b/>
        <sz val="12"/>
        <color theme="1"/>
        <rFont val="Aptos"/>
        <family val="2"/>
      </rPr>
      <t xml:space="preserve"> 10. System Maintenance</t>
    </r>
  </si>
  <si>
    <r>
      <t>🟦</t>
    </r>
    <r>
      <rPr>
        <b/>
        <sz val="12"/>
        <color theme="1"/>
        <rFont val="Aptos"/>
        <family val="2"/>
      </rPr>
      <t xml:space="preserve"> 11. Support</t>
    </r>
  </si>
  <si>
    <t>Row Labels</t>
  </si>
  <si>
    <t>Grand Total</t>
  </si>
  <si>
    <t>Sum of Quantity</t>
  </si>
  <si>
    <t>Sum of StockValue</t>
  </si>
  <si>
    <t>FILTERS</t>
  </si>
  <si>
    <t>STOCK BY CATEGORY</t>
  </si>
  <si>
    <t>STOCK VALUE BY SUPPLIER</t>
  </si>
  <si>
    <t>FASTEST MOVERS</t>
  </si>
  <si>
    <t>MONTHLY STOCK MOVEMENT</t>
  </si>
  <si>
    <t>ProductID (e.g., P001)</t>
  </si>
  <si>
    <t>Category (dropdown)</t>
  </si>
  <si>
    <t>Supplier (dropdown)</t>
  </si>
  <si>
    <t>Active (Yes/No)</t>
  </si>
  <si>
    <t>Type (Sale, Purchase, Adjustment, Opening 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</si>
</sst>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00"/>
    <numFmt numFmtId="165" formatCode="&quot;$&quot;#,##0"/>
  </numFmts>
  <fonts count="16" x14ac:knownFonts="1">
    <font>
      <sz val="11"/>
      <color theme="1"/>
      <name val="Segoe UI Semibold"/>
      <family val="2"/>
    </font>
    <font>
      <b/>
      <sz val="11"/>
      <color theme="1"/>
      <name val="Segoe UI Semibold"/>
      <family val="2"/>
    </font>
    <font>
      <b/>
      <sz val="11"/>
      <color rgb="FFFFFFFF"/>
      <name val="Segoe UI Semibold"/>
      <family val="2"/>
    </font>
    <font>
      <b/>
      <sz val="11"/>
      <color rgb="FF1A1A1A"/>
      <name val="Segoe UI Semibold"/>
      <family val="2"/>
    </font>
    <font>
      <sz val="12"/>
      <color theme="1"/>
      <name val="Aptos"/>
      <family val="2"/>
    </font>
    <font>
      <b/>
      <sz val="12"/>
      <color theme="1"/>
      <name val="Aptos"/>
      <family val="2"/>
    </font>
    <font>
      <b/>
      <sz val="12"/>
      <color theme="1"/>
      <name val="Segoe UI Emoji"/>
      <family val="2"/>
    </font>
    <font>
      <b/>
      <sz val="12"/>
      <color theme="1"/>
      <name val="Segoe UI Symbol"/>
      <family val="2"/>
    </font>
    <font>
      <sz val="11"/>
      <color theme="1"/>
      <name val="Aptos"/>
    </font>
    <font>
      <b/>
      <sz val="11"/>
      <color rgb="FFFFFFFF"/>
      <name val="Aptos"/>
    </font>
    <font>
      <b/>
      <sz val="11"/>
      <color rgb="FF1A1A1A"/>
      <name val="Aptos"/>
    </font>
    <font>
      <b/>
      <sz val="14"/>
      <color theme="1"/>
      <name val="Aptos"/>
    </font>
    <font>
      <sz val="11"/>
      <color rgb="FF1A1A1A"/>
      <name val="Aptos"/>
    </font>
    <font>
      <b/>
      <sz val="16"/>
      <color rgb="FFD4AF37"/>
      <name val="Aptos"/>
      <family val="2"/>
    </font>
    <font>
      <i/>
      <sz val="11"/>
      <color rgb="FF666666"/>
      <name val="Segoe UI Semibold"/>
      <family val="2"/>
    </font>
    <font>
      <i/>
      <sz val="11"/>
      <color rgb="FF666666"/>
      <name val="Aptos"/>
    </font>
  </fonts>
  <fills count="6">
    <fill>
      <patternFill patternType="none"/>
    </fill>
    <fill>
      <patternFill patternType="gray125"/>
    </fill>
    <fill>
      <patternFill patternType="solid">
        <fgColor rgb="FF1A1A1A"/>
        <bgColor indexed="64"/>
      </patternFill>
    </fill>
    <fill>
      <patternFill patternType="solid">
        <fgColor rgb="FFD4AF37"/>
        <bgColor indexed="64"/>
      </patternFill>
    </fill>
    <fill>
      <patternFill patternType="solid">
        <fgColor rgb="FFF3F3F3"/>
        <bgColor indexed="64"/>
      </patternFill>
    </fill>
    <fill>
      <patternFill patternType="solid">
        <fgColor rgb="FFFFFFFF"/>
        <bgColor indexed="64"/>
      </patternFill>
    </fill>
  </fills>
  <borders count="16">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64">
    <xf numFmtId="0" fontId="0" fillId="0" borderId="0" xfId="0"/>
    <xf numFmtId="164" fontId="0" fillId="0" borderId="0" xfId="0" applyNumberFormat="1"/>
    <xf numFmtId="3" fontId="0" fillId="0" borderId="0" xfId="0" applyNumberFormat="1"/>
    <xf numFmtId="14" fontId="0" fillId="0" borderId="0" xfId="0" applyNumberFormat="1"/>
    <xf numFmtId="0" fontId="4" fillId="0" borderId="0" xfId="0" applyFont="1" applyAlignment="1">
      <alignment vertical="center"/>
    </xf>
    <xf numFmtId="17" fontId="0" fillId="0" borderId="0" xfId="0" applyNumberFormat="1"/>
    <xf numFmtId="0" fontId="8" fillId="0" borderId="0" xfId="0" applyFont="1"/>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4" fillId="0" borderId="15" xfId="0" applyFont="1" applyBorder="1"/>
    <xf numFmtId="0" fontId="10" fillId="3" borderId="0" xfId="0" applyFont="1" applyFill="1" applyAlignment="1">
      <alignment horizontal="center"/>
    </xf>
    <xf numFmtId="165" fontId="11" fillId="4" borderId="0" xfId="0" applyNumberFormat="1" applyFont="1" applyFill="1" applyAlignment="1">
      <alignment horizontal="center"/>
    </xf>
    <xf numFmtId="3" fontId="11" fillId="4" borderId="0" xfId="0" applyNumberFormat="1" applyFont="1" applyFill="1" applyAlignment="1">
      <alignment horizontal="center"/>
    </xf>
    <xf numFmtId="0" fontId="9" fillId="2" borderId="0" xfId="0" applyFont="1" applyFill="1" applyAlignment="1">
      <alignment horizontal="center"/>
    </xf>
    <xf numFmtId="0" fontId="10" fillId="5" borderId="15" xfId="0" applyFont="1" applyFill="1" applyBorder="1" applyAlignment="1">
      <alignment horizontal="center"/>
    </xf>
    <xf numFmtId="0" fontId="10" fillId="4" borderId="0" xfId="0" applyFont="1" applyFill="1" applyAlignment="1">
      <alignment horizontal="center" wrapText="1"/>
    </xf>
    <xf numFmtId="0" fontId="8" fillId="4" borderId="0" xfId="0" applyFont="1" applyFill="1"/>
    <xf numFmtId="0" fontId="14" fillId="0" borderId="0" xfId="0" applyFont="1"/>
    <xf numFmtId="0" fontId="14" fillId="0" borderId="12" xfId="0" applyFont="1" applyBorder="1"/>
    <xf numFmtId="0" fontId="14" fillId="0" borderId="11" xfId="0" applyFont="1" applyBorder="1"/>
    <xf numFmtId="0" fontId="15" fillId="5" borderId="15" xfId="0" applyFont="1" applyFill="1" applyBorder="1"/>
    <xf numFmtId="3" fontId="15" fillId="5" borderId="15" xfId="0" applyNumberFormat="1" applyFont="1" applyFill="1" applyBorder="1"/>
    <xf numFmtId="165" fontId="15" fillId="5" borderId="15" xfId="0" applyNumberFormat="1" applyFont="1" applyFill="1" applyBorder="1"/>
    <xf numFmtId="0" fontId="12" fillId="4" borderId="0" xfId="0" applyFont="1" applyFill="1" applyAlignment="1">
      <alignment wrapText="1"/>
    </xf>
    <xf numFmtId="0" fontId="9" fillId="4" borderId="0" xfId="0" applyFont="1" applyFill="1" applyAlignment="1">
      <alignment horizontal="center"/>
    </xf>
    <xf numFmtId="3" fontId="8" fillId="4" borderId="0" xfId="0" applyNumberFormat="1" applyFont="1" applyFill="1"/>
    <xf numFmtId="3" fontId="8" fillId="0" borderId="0" xfId="0" applyNumberFormat="1" applyFont="1"/>
    <xf numFmtId="0" fontId="15"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xf>
    <xf numFmtId="3" fontId="2" fillId="2" borderId="0" xfId="0" applyNumberFormat="1" applyFont="1" applyFill="1" applyAlignment="1">
      <alignment horizontal="center"/>
    </xf>
    <xf numFmtId="164" fontId="14" fillId="0" borderId="0" xfId="0" applyNumberFormat="1" applyFont="1"/>
    <xf numFmtId="3" fontId="14" fillId="0" borderId="0" xfId="0" applyNumberFormat="1" applyFont="1"/>
    <xf numFmtId="14" fontId="2" fillId="2" borderId="0" xfId="0" applyNumberFormat="1" applyFont="1" applyFill="1" applyAlignment="1">
      <alignment horizontal="center"/>
    </xf>
    <xf numFmtId="0" fontId="3" fillId="3" borderId="0" xfId="0" applyFont="1" applyFill="1"/>
    <xf numFmtId="0" fontId="6"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indent="1"/>
    </xf>
    <xf numFmtId="0" fontId="4" fillId="0" borderId="0" xfId="0" applyFont="1" applyAlignment="1">
      <alignment horizontal="left" vertical="center" indent="1"/>
    </xf>
    <xf numFmtId="0" fontId="7" fillId="0" borderId="0" xfId="0" applyFont="1" applyAlignment="1">
      <alignment vertical="center"/>
    </xf>
    <xf numFmtId="0" fontId="14" fillId="0" borderId="0" xfId="0" applyFont="1" applyProtection="1">
      <protection locked="0"/>
    </xf>
    <xf numFmtId="164" fontId="14" fillId="0" borderId="0" xfId="0" applyNumberFormat="1" applyFont="1" applyProtection="1">
      <protection locked="0"/>
    </xf>
    <xf numFmtId="3" fontId="14" fillId="0" borderId="0" xfId="0" applyNumberFormat="1" applyFont="1" applyProtection="1">
      <protection locked="0"/>
    </xf>
    <xf numFmtId="0" fontId="0" fillId="0" borderId="0" xfId="0" applyProtection="1">
      <protection locked="0"/>
    </xf>
    <xf numFmtId="164" fontId="0" fillId="0" borderId="0" xfId="0" applyNumberFormat="1" applyProtection="1">
      <protection locked="0"/>
    </xf>
    <xf numFmtId="3" fontId="0" fillId="0" borderId="0" xfId="0" applyNumberFormat="1" applyProtection="1">
      <protection locked="0"/>
    </xf>
    <xf numFmtId="14" fontId="14" fillId="0" borderId="0" xfId="0" applyNumberFormat="1" applyFont="1" applyProtection="1">
      <protection locked="0"/>
    </xf>
    <xf numFmtId="14" fontId="0" fillId="0" borderId="0" xfId="0" applyNumberFormat="1" applyProtection="1">
      <protection locked="0"/>
    </xf>
    <xf numFmtId="0" fontId="9" fillId="2" borderId="0" xfId="0" applyFont="1" applyFill="1" applyAlignment="1">
      <alignment horizontal="center"/>
    </xf>
    <xf numFmtId="0" fontId="13" fillId="2" borderId="0" xfId="0" applyFont="1" applyFill="1" applyAlignment="1">
      <alignment horizontal="center" vertical="center"/>
    </xf>
    <xf numFmtId="0" fontId="0" fillId="0" borderId="0" xfId="0" pivotButton="1" applyProtection="1"/>
    <xf numFmtId="0" fontId="0" fillId="0" borderId="0" xfId="0" applyProtection="1"/>
    <xf numFmtId="0" fontId="0" fillId="0" borderId="0" xfId="0" applyAlignment="1" applyProtection="1">
      <alignment horizontal="left"/>
    </xf>
    <xf numFmtId="0" fontId="0" fillId="0" borderId="0" xfId="0" applyNumberFormat="1" applyProtection="1"/>
    <xf numFmtId="0" fontId="0" fillId="0" borderId="1" xfId="0" applyBorder="1" applyProtection="1"/>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cellXfs>
  <cellStyles count="1">
    <cellStyle name="Normal" xfId="0" builtinId="0"/>
  </cellStyles>
  <dxfs count="103">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numFmt numFmtId="22" formatCode="mmm/yy"/>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protection locked="1"/>
    </dxf>
    <dxf>
      <numFmt numFmtId="164" formatCode="&quot;$&quot;#,##0.00"/>
      <protection locked="1"/>
    </dxf>
    <dxf>
      <numFmt numFmtId="3" formatCode="#,##0"/>
      <protection locked="1"/>
    </dxf>
    <dxf>
      <numFmt numFmtId="3" formatCode="#,##0"/>
      <protection locked="1"/>
    </dxf>
    <dxf>
      <numFmt numFmtId="3" formatCode="#,##0"/>
      <protection locked="1"/>
    </dxf>
    <dxf>
      <protection locked="1"/>
    </dxf>
    <dxf>
      <protection locked="1"/>
    </dxf>
    <dxf>
      <protection locked="1"/>
    </dxf>
    <dxf>
      <protection locked="1"/>
    </dxf>
    <dxf>
      <protection locked="1"/>
    </dxf>
    <dxf>
      <font>
        <b/>
        <color rgb="FFFFFFFF"/>
      </font>
      <fill>
        <patternFill patternType="solid">
          <fgColor indexed="64"/>
          <bgColor rgb="FF1A1A1A"/>
        </patternFill>
      </fill>
      <alignment horizontal="center"/>
      <protection locked="1"/>
    </dxf>
    <dxf>
      <protection locked="1"/>
    </dxf>
    <dxf>
      <numFmt numFmtId="3" formatCode="#,##0"/>
      <protection locked="1"/>
    </dxf>
    <dxf>
      <numFmt numFmtId="3" formatCode="#,##0"/>
      <protection locked="1"/>
    </dxf>
    <dxf>
      <numFmt numFmtId="3" formatCode="#,##0"/>
      <protection locked="1"/>
    </dxf>
    <dxf>
      <numFmt numFmtId="164" formatCode="&quot;$&quot;#,##0.00"/>
      <protection locked="1"/>
    </dxf>
    <dxf>
      <protection locked="1"/>
    </dxf>
    <dxf>
      <protection locked="1"/>
    </dxf>
    <dxf>
      <protection locked="1"/>
    </dxf>
    <dxf>
      <protection locked="1"/>
    </dxf>
    <dxf>
      <font>
        <b/>
        <color rgb="FFFFFFFF"/>
      </font>
      <fill>
        <patternFill patternType="solid">
          <fgColor indexed="64"/>
          <bgColor rgb="FF1A1A1A"/>
        </patternFill>
      </fill>
      <alignment horizontal="center"/>
      <protection locked="1"/>
    </dxf>
    <dxf>
      <protection locked="0"/>
    </dxf>
    <dxf>
      <protection locked="0"/>
    </dxf>
    <dxf>
      <numFmt numFmtId="3" formatCode="#,##0"/>
      <protection locked="0"/>
    </dxf>
    <dxf>
      <protection locked="0"/>
    </dxf>
    <dxf>
      <protection locked="0"/>
    </dxf>
    <dxf>
      <numFmt numFmtId="19" formatCode="yyyy/mm/dd"/>
      <protection locked="0"/>
    </dxf>
    <dxf>
      <protection locked="1"/>
    </dxf>
    <dxf>
      <protection locked="1"/>
    </dxf>
    <dxf>
      <font>
        <b/>
        <color rgb="FFFFFFFF"/>
      </font>
      <fill>
        <patternFill patternType="solid">
          <fgColor indexed="64"/>
          <bgColor rgb="FF1A1A1A"/>
        </patternFill>
      </fill>
      <alignment horizontal="center"/>
      <protection locked="1"/>
    </dxf>
    <dxf>
      <protection locked="0"/>
    </dxf>
    <dxf>
      <numFmt numFmtId="3" formatCode="#,##0"/>
      <protection locked="0"/>
    </dxf>
    <dxf>
      <protection locked="0"/>
    </dxf>
    <dxf>
      <numFmt numFmtId="164" formatCode="&quot;$&quot;#,##0.00"/>
      <protection locked="0"/>
    </dxf>
    <dxf>
      <protection locked="0"/>
    </dxf>
    <dxf>
      <protection locked="0"/>
    </dxf>
    <dxf>
      <protection locked="0"/>
    </dxf>
    <dxf>
      <protection locked="0"/>
    </dxf>
    <dxf>
      <font>
        <b/>
        <color rgb="FFFFFFFF"/>
      </font>
      <fill>
        <patternFill patternType="solid">
          <fgColor indexed="64"/>
          <bgColor rgb="FF1A1A1A"/>
        </patternFill>
      </fill>
      <alignment horizontal="center"/>
    </dxf>
    <dxf>
      <font>
        <color theme="0"/>
      </font>
      <fill>
        <patternFill>
          <bgColor theme="1"/>
        </patternFill>
      </fill>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s>
  <tableStyles count="1" defaultTableStyle="TableStyleMedium2" defaultPivotStyle="PivotStyleLight16">
    <tableStyle name="HS_Style" pivot="0" table="0" count="10" xr9:uid="{15C7D135-6EA0-4144-9470-6528BC0A278A}">
      <tableStyleElement type="wholeTable" dxfId="102"/>
      <tableStyleElement type="headerRow" dxfId="101"/>
    </tableStyle>
  </tableStyles>
  <colors>
    <mruColors>
      <color rgb="FFD4AF37"/>
      <color rgb="FF1A1A1A"/>
      <color rgb="FFF4E7C2"/>
    </mruColors>
  </colors>
  <extLst>
    <ext xmlns:x14="http://schemas.microsoft.com/office/spreadsheetml/2009/9/main" uri="{46F421CA-312F-682f-3DD2-61675219B42D}">
      <x14:dxfs count="8">
        <dxf>
          <font>
            <color rgb="FF000000"/>
          </font>
          <fill>
            <patternFill patternType="solid">
              <fgColor auto="1"/>
              <bgColor theme="0" tint="-4.9989318521683403E-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0" tint="-4.9989318521683403E-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0" tint="-4.9989318521683403E-2"/>
            </pattern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theme="0" tint="-4.9989318521683403E-2"/>
            </patternFill>
          </fill>
          <border>
            <left style="thin">
              <color rgb="FF999999"/>
            </left>
            <right style="thin">
              <color rgb="FF999999"/>
            </right>
            <top style="thin">
              <color rgb="FF999999"/>
            </top>
            <bottom style="thin">
              <color rgb="FF999999"/>
            </bottom>
            <vertical/>
            <horizontal/>
          </border>
        </dxf>
        <dxf>
          <font>
            <color theme="8" tint="-0.249977111117893"/>
          </font>
          <fill>
            <patternFill patternType="solid">
              <fgColor theme="8" tint="0.59999389629810485"/>
              <bgColor theme="0" tint="-4.9989318521683403E-2"/>
            </patternFill>
          </fill>
          <border>
            <left style="thin">
              <color theme="8" tint="0.59999389629810485"/>
            </left>
            <right style="thin">
              <color theme="8" tint="0.59999389629810485"/>
            </right>
            <top style="thin">
              <color theme="8" tint="0.59999389629810485"/>
            </top>
            <bottom style="thin">
              <color theme="8" tint="0.59999389629810485"/>
            </bottom>
            <vertical/>
            <horizontal/>
          </border>
        </dxf>
        <dxf>
          <font>
            <color theme="0"/>
          </font>
          <fill>
            <patternFill patternType="solid">
              <fgColor theme="8"/>
              <bgColor rgb="FFD4AF37"/>
            </patternFill>
          </fill>
          <border>
            <left style="thin">
              <color theme="8"/>
            </left>
            <right style="thin">
              <color theme="8"/>
            </right>
            <top style="thin">
              <color theme="8"/>
            </top>
            <bottom style="thin">
              <color theme="8"/>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HS_Style">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pivotCacheDefinition" Target="pivotCache/pivotCacheDefinition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Stock by Category</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Dashboard!$B$7</c:f>
              <c:strCache>
                <c:ptCount val="1"/>
                <c:pt idx="0">
                  <c:v>Quantity</c:v>
                </c:pt>
              </c:strCache>
            </c:strRef>
          </c:tx>
          <c:spPr>
            <a:solidFill>
              <a:schemeClr val="accent1"/>
            </a:solidFill>
            <a:ln>
              <a:noFill/>
            </a:ln>
            <a:effectLst/>
          </c:spPr>
          <c:invertIfNegative val="0"/>
          <c:cat>
            <c:strRef>
              <c:f>Dashboard!$A$8:$A$12</c:f>
              <c:strCache>
                <c:ptCount val="1"/>
                <c:pt idx="0">
                  <c:v>Select Category</c:v>
                </c:pt>
              </c:strCache>
            </c:strRef>
          </c:cat>
          <c:val>
            <c:numRef>
              <c:f>Dashboard!$B$8:$B$12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4460-4568-9C57-3C48DE0F952D}"/>
            </c:ext>
          </c:extLst>
        </c:ser>
        <c:dLbls>
          <c:showLegendKey val="0"/>
          <c:showVal val="0"/>
          <c:showCatName val="0"/>
          <c:showSerName val="0"/>
          <c:showPercent val="0"/>
          <c:showBubbleSize val="0"/>
        </c:dLbls>
        <c:gapWidth val="219"/>
        <c:overlap val="-27"/>
        <c:axId val="1690677456"/>
        <c:axId val="348670640"/>
      </c:barChart>
      <c:catAx>
        <c:axId val="16906774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Category</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8670640"/>
        <c:crosses val="autoZero"/>
        <c:auto val="1"/>
        <c:lblAlgn val="ctr"/>
        <c:lblOffset val="100"/>
        <c:noMultiLvlLbl val="0"/>
      </c:catAx>
      <c:valAx>
        <c:axId val="3486706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Quantity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06774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400" b="1" i="0" u="none" strike="noStrike" kern="1200" spc="0" baseline="0">
                <a:solidFill>
                  <a:schemeClr val="tx1">
                    <a:lumMod val="65000"/>
                    <a:lumOff val="35000"/>
                  </a:schemeClr>
                </a:solidFill>
                <a:latin typeface="+mn-lt"/>
                <a:ea typeface="+mn-ea"/>
                <a:cs typeface="+mn-cs"/>
              </a:defRPr>
            </a:pPr>
            <a:r>
              <a:rPr lang="en-US" sz="1400" b="1"/>
              <a:t>Stock Value by Supplier</a:t>
            </a:r>
          </a:p>
        </c:rich>
      </c:tx>
      <c:layout>
        <c:manualLayout>
          <c:xMode val="edge"/>
          <c:yMode val="edge"/>
          <c:x val="0.45082981280262358"/>
          <c:y val="0.88230475546605891"/>
        </c:manualLayout>
      </c:layout>
      <c:overlay val="0"/>
      <c:spPr>
        <a:noFill/>
        <a:ln>
          <a:noFill/>
        </a:ln>
        <a:effectLst/>
      </c:spPr>
      <c:txPr>
        <a:bodyPr rot="0" spcFirstLastPara="1" vertOverflow="ellipsis" vert="horz" wrap="square" anchor="ctr" anchorCtr="1"/>
        <a:lstStyle/>
        <a:p>
          <a:pPr algn="ct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Dashboard!$E$7</c:f>
              <c:strCache>
                <c:ptCount val="1"/>
                <c:pt idx="0">
                  <c:v>StockValue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C82-4938-8092-CAD1ACE45A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C82-4938-8092-CAD1ACE45A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C82-4938-8092-CAD1ACE45A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C82-4938-8092-CAD1ACE45A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C82-4938-8092-CAD1ACE45A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C82-4938-8092-CAD1ACE45A63}"/>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Dashboard!$D$8:$D$13</c:f>
              <c:strCache>
                <c:ptCount val="1"/>
                <c:pt idx="0">
                  <c:v>Select Supplier</c:v>
                </c:pt>
              </c:strCache>
            </c:strRef>
          </c:cat>
          <c:val>
            <c:numRef>
              <c:f>Dashboard!$E$8:$E$13</c:f>
              <c:numCache>
                <c:formatCode>"$"#,##0</c:formatCode>
                <c:ptCount val="6"/>
                <c:pt idx="0">
                  <c:v>0</c:v>
                </c:pt>
                <c:pt idx="1">
                  <c:v>0</c:v>
                </c:pt>
                <c:pt idx="2">
                  <c:v>0</c:v>
                </c:pt>
                <c:pt idx="3">
                  <c:v>0</c:v>
                </c:pt>
                <c:pt idx="4">
                  <c:v>0</c:v>
                </c:pt>
              </c:numCache>
            </c:numRef>
          </c:val>
          <c:extLst>
            <c:ext xmlns:c16="http://schemas.microsoft.com/office/drawing/2014/chart" uri="{C3380CC4-5D6E-409C-BE32-E72D297353CC}">
              <c16:uniqueId val="{00000000-F52C-4136-9EF4-686B1C823EA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Monthly Stock Movement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Dashboard!$H$11</c:f>
              <c:strCache>
                <c:ptCount val="1"/>
              </c:strCache>
            </c:strRef>
          </c:tx>
          <c:spPr>
            <a:ln w="28575" cap="rnd">
              <a:solidFill>
                <a:schemeClr val="accent1"/>
              </a:solidFill>
              <a:round/>
            </a:ln>
            <a:effectLst/>
          </c:spPr>
          <c:marker>
            <c:symbol val="none"/>
          </c:marker>
          <c:cat>
            <c:numRef>
              <c:f>Dashboard!$G$12:$G$17</c:f>
              <c:numCache>
                <c:formatCode>General</c:formatCode>
                <c:ptCount val="6"/>
              </c:numCache>
            </c:numRef>
          </c:cat>
          <c:val>
            <c:numRef>
              <c:f>Dashboard!$H$12:$H$17</c:f>
              <c:numCache>
                <c:formatCode>#,##0</c:formatCode>
                <c:ptCount val="6"/>
              </c:numCache>
            </c:numRef>
          </c:val>
          <c:smooth val="0"/>
          <c:extLst>
            <c:ext xmlns:c16="http://schemas.microsoft.com/office/drawing/2014/chart" uri="{C3380CC4-5D6E-409C-BE32-E72D297353CC}">
              <c16:uniqueId val="{00000000-3B46-4C1C-AAA3-02C8A2856B7A}"/>
            </c:ext>
          </c:extLst>
        </c:ser>
        <c:dLbls>
          <c:showLegendKey val="0"/>
          <c:showVal val="0"/>
          <c:showCatName val="0"/>
          <c:showSerName val="0"/>
          <c:showPercent val="0"/>
          <c:showBubbleSize val="0"/>
        </c:dLbls>
        <c:smooth val="0"/>
        <c:axId val="380865264"/>
        <c:axId val="348702800"/>
      </c:lineChart>
      <c:catAx>
        <c:axId val="38086526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Month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8702800"/>
        <c:crosses val="autoZero"/>
        <c:auto val="1"/>
        <c:lblAlgn val="ctr"/>
        <c:lblOffset val="100"/>
        <c:noMultiLvlLbl val="0"/>
      </c:catAx>
      <c:valAx>
        <c:axId val="348702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Net Movement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08652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Top 5 Fastest Movers</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Dashboard!$B$16</c:f>
              <c:strCache>
                <c:ptCount val="1"/>
              </c:strCache>
            </c:strRef>
          </c:tx>
          <c:spPr>
            <a:solidFill>
              <a:schemeClr val="accent1"/>
            </a:solidFill>
            <a:ln>
              <a:noFill/>
            </a:ln>
            <a:effectLst/>
          </c:spPr>
          <c:invertIfNegative val="0"/>
          <c:cat>
            <c:numRef>
              <c:f>Dashboard!$A$17:$A$21</c:f>
              <c:numCache>
                <c:formatCode>General</c:formatCode>
                <c:ptCount val="5"/>
              </c:numCache>
            </c:numRef>
          </c:cat>
          <c:val>
            <c:numRef>
              <c:f>Dashboard!$B$17:$B$21</c:f>
              <c:numCache>
                <c:formatCode>#,##0</c:formatCode>
                <c:ptCount val="5"/>
              </c:numCache>
            </c:numRef>
          </c:val>
          <c:extLst>
            <c:ext xmlns:c16="http://schemas.microsoft.com/office/drawing/2014/chart" uri="{C3380CC4-5D6E-409C-BE32-E72D297353CC}">
              <c16:uniqueId val="{00000000-DF34-4275-9C7B-CE72DF88CFFE}"/>
            </c:ext>
          </c:extLst>
        </c:ser>
        <c:dLbls>
          <c:showLegendKey val="0"/>
          <c:showVal val="0"/>
          <c:showCatName val="0"/>
          <c:showSerName val="0"/>
          <c:showPercent val="0"/>
          <c:showBubbleSize val="0"/>
        </c:dLbls>
        <c:gapWidth val="219"/>
        <c:overlap val="-27"/>
        <c:axId val="380710752"/>
        <c:axId val="348710960"/>
      </c:barChart>
      <c:catAx>
        <c:axId val="3807107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Product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8710960"/>
        <c:crosses val="autoZero"/>
        <c:auto val="1"/>
        <c:lblAlgn val="ctr"/>
        <c:lblOffset val="100"/>
        <c:noMultiLvlLbl val="0"/>
      </c:catAx>
      <c:valAx>
        <c:axId val="348710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Movement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0710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5</xdr:col>
      <xdr:colOff>242094</xdr:colOff>
      <xdr:row>6</xdr:row>
      <xdr:rowOff>94456</xdr:rowOff>
    </xdr:from>
    <xdr:to>
      <xdr:col>7</xdr:col>
      <xdr:colOff>27781</xdr:colOff>
      <xdr:row>12</xdr:row>
      <xdr:rowOff>78581</xdr:rowOff>
    </xdr:to>
    <mc:AlternateContent xmlns:mc="http://schemas.openxmlformats.org/markup-compatibility/2006" xmlns:sle15="http://schemas.microsoft.com/office/drawing/2012/slicer">
      <mc:Choice Requires="sle15">
        <xdr:graphicFrame macro="">
          <xdr:nvGraphicFramePr>
            <xdr:cNvPr id="13" name="slCategory">
              <a:extLst>
                <a:ext uri="{FF2B5EF4-FFF2-40B4-BE49-F238E27FC236}">
                  <a16:creationId xmlns:a16="http://schemas.microsoft.com/office/drawing/2014/main" id="{12387558-B4E6-294C-A628-A9CA2DEC2DD8}"/>
                </a:ext>
              </a:extLst>
            </xdr:cNvPr>
            <xdr:cNvGraphicFramePr/>
          </xdr:nvGraphicFramePr>
          <xdr:xfrm>
            <a:off x="0" y="0"/>
            <a:ext cx="0" cy="0"/>
          </xdr:xfrm>
          <a:graphic>
            <a:graphicData uri="http://schemas.microsoft.com/office/drawing/2010/slicer">
              <sle:slicer xmlns:sle="http://schemas.microsoft.com/office/drawing/2010/slicer" name="slCategory"/>
            </a:graphicData>
          </a:graphic>
        </xdr:graphicFrame>
      </mc:Choice>
      <mc:Fallback xmlns="">
        <xdr:sp macro="" textlink="">
          <xdr:nvSpPr>
            <xdr:cNvPr id="0" name=""/>
            <xdr:cNvSpPr>
              <a:spLocks noTextEdit="1"/>
            </xdr:cNvSpPr>
          </xdr:nvSpPr>
          <xdr:spPr>
            <a:xfrm>
              <a:off x="10681494" y="1437481"/>
              <a:ext cx="1709737" cy="1241425"/>
            </a:xfrm>
            <a:prstGeom prst="rect">
              <a:avLst/>
            </a:prstGeom>
            <a:solidFill>
              <a:prstClr val="white"/>
            </a:solidFill>
            <a:ln w="1">
              <a:solidFill>
                <a:prstClr val="green"/>
              </a:solidFill>
            </a:ln>
          </xdr:spPr>
          <xdr:txBody>
            <a:bodyPr vertOverflow="clip" horzOverflow="clip"/>
            <a:lstStyle/>
            <a:p>
              <a:r>
                <a:rPr lang="en-C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130970</xdr:colOff>
      <xdr:row>6</xdr:row>
      <xdr:rowOff>70643</xdr:rowOff>
    </xdr:from>
    <xdr:to>
      <xdr:col>8</xdr:col>
      <xdr:colOff>881064</xdr:colOff>
      <xdr:row>12</xdr:row>
      <xdr:rowOff>54768</xdr:rowOff>
    </xdr:to>
    <mc:AlternateContent xmlns:mc="http://schemas.openxmlformats.org/markup-compatibility/2006" xmlns:sle15="http://schemas.microsoft.com/office/drawing/2012/slicer">
      <mc:Choice Requires="sle15">
        <xdr:graphicFrame macro="">
          <xdr:nvGraphicFramePr>
            <xdr:cNvPr id="14" name="slSupplier">
              <a:extLst>
                <a:ext uri="{FF2B5EF4-FFF2-40B4-BE49-F238E27FC236}">
                  <a16:creationId xmlns:a16="http://schemas.microsoft.com/office/drawing/2014/main" id="{8DF8F950-C010-7D38-AB75-F0FBD7962B6F}"/>
                </a:ext>
              </a:extLst>
            </xdr:cNvPr>
            <xdr:cNvGraphicFramePr/>
          </xdr:nvGraphicFramePr>
          <xdr:xfrm>
            <a:off x="0" y="0"/>
            <a:ext cx="0" cy="0"/>
          </xdr:xfrm>
          <a:graphic>
            <a:graphicData uri="http://schemas.microsoft.com/office/drawing/2010/slicer">
              <sle:slicer xmlns:sle="http://schemas.microsoft.com/office/drawing/2010/slicer" name="slSupplier"/>
            </a:graphicData>
          </a:graphic>
        </xdr:graphicFrame>
      </mc:Choice>
      <mc:Fallback xmlns="">
        <xdr:sp macro="" textlink="">
          <xdr:nvSpPr>
            <xdr:cNvPr id="0" name=""/>
            <xdr:cNvSpPr>
              <a:spLocks noTextEdit="1"/>
            </xdr:cNvSpPr>
          </xdr:nvSpPr>
          <xdr:spPr>
            <a:xfrm>
              <a:off x="12494420" y="1413668"/>
              <a:ext cx="1712119" cy="1241425"/>
            </a:xfrm>
            <a:prstGeom prst="rect">
              <a:avLst/>
            </a:prstGeom>
            <a:solidFill>
              <a:prstClr val="white"/>
            </a:solidFill>
            <a:ln w="1">
              <a:solidFill>
                <a:prstClr val="green"/>
              </a:solidFill>
            </a:ln>
          </xdr:spPr>
          <xdr:txBody>
            <a:bodyPr vertOverflow="clip" horzOverflow="clip"/>
            <a:lstStyle/>
            <a:p>
              <a:r>
                <a:rPr lang="en-C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230188</xdr:colOff>
      <xdr:row>12</xdr:row>
      <xdr:rowOff>205581</xdr:rowOff>
    </xdr:from>
    <xdr:to>
      <xdr:col>7</xdr:col>
      <xdr:colOff>15875</xdr:colOff>
      <xdr:row>18</xdr:row>
      <xdr:rowOff>189706</xdr:rowOff>
    </xdr:to>
    <mc:AlternateContent xmlns:mc="http://schemas.openxmlformats.org/markup-compatibility/2006" xmlns:sle15="http://schemas.microsoft.com/office/drawing/2012/slicer">
      <mc:Choice Requires="sle15">
        <xdr:graphicFrame macro="">
          <xdr:nvGraphicFramePr>
            <xdr:cNvPr id="15" name="slLocation">
              <a:extLst>
                <a:ext uri="{FF2B5EF4-FFF2-40B4-BE49-F238E27FC236}">
                  <a16:creationId xmlns:a16="http://schemas.microsoft.com/office/drawing/2014/main" id="{2D7D393F-AA4B-BCD7-5DDB-08F3F22FD5B3}"/>
                </a:ext>
              </a:extLst>
            </xdr:cNvPr>
            <xdr:cNvGraphicFramePr/>
          </xdr:nvGraphicFramePr>
          <xdr:xfrm>
            <a:off x="0" y="0"/>
            <a:ext cx="0" cy="0"/>
          </xdr:xfrm>
          <a:graphic>
            <a:graphicData uri="http://schemas.microsoft.com/office/drawing/2010/slicer">
              <sle:slicer xmlns:sle="http://schemas.microsoft.com/office/drawing/2010/slicer" name="slLocation"/>
            </a:graphicData>
          </a:graphic>
        </xdr:graphicFrame>
      </mc:Choice>
      <mc:Fallback xmlns="">
        <xdr:sp macro="" textlink="">
          <xdr:nvSpPr>
            <xdr:cNvPr id="0" name=""/>
            <xdr:cNvSpPr>
              <a:spLocks noTextEdit="1"/>
            </xdr:cNvSpPr>
          </xdr:nvSpPr>
          <xdr:spPr>
            <a:xfrm>
              <a:off x="10669588" y="2805906"/>
              <a:ext cx="1709737" cy="1241425"/>
            </a:xfrm>
            <a:prstGeom prst="rect">
              <a:avLst/>
            </a:prstGeom>
            <a:solidFill>
              <a:prstClr val="white"/>
            </a:solidFill>
            <a:ln w="1">
              <a:solidFill>
                <a:prstClr val="green"/>
              </a:solidFill>
            </a:ln>
          </xdr:spPr>
          <xdr:txBody>
            <a:bodyPr vertOverflow="clip" horzOverflow="clip"/>
            <a:lstStyle/>
            <a:p>
              <a:r>
                <a:rPr lang="en-C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190500</xdr:colOff>
      <xdr:row>12</xdr:row>
      <xdr:rowOff>122237</xdr:rowOff>
    </xdr:from>
    <xdr:to>
      <xdr:col>8</xdr:col>
      <xdr:colOff>940594</xdr:colOff>
      <xdr:row>18</xdr:row>
      <xdr:rowOff>106362</xdr:rowOff>
    </xdr:to>
    <mc:AlternateContent xmlns:mc="http://schemas.openxmlformats.org/markup-compatibility/2006" xmlns:sle15="http://schemas.microsoft.com/office/drawing/2012/slicer">
      <mc:Choice Requires="sle15">
        <xdr:graphicFrame macro="">
          <xdr:nvGraphicFramePr>
            <xdr:cNvPr id="16" name="slDate">
              <a:extLst>
                <a:ext uri="{FF2B5EF4-FFF2-40B4-BE49-F238E27FC236}">
                  <a16:creationId xmlns:a16="http://schemas.microsoft.com/office/drawing/2014/main" id="{7C3F98CB-A4E2-65C3-2039-4917CFF5F7EC}"/>
                </a:ext>
              </a:extLst>
            </xdr:cNvPr>
            <xdr:cNvGraphicFramePr/>
          </xdr:nvGraphicFramePr>
          <xdr:xfrm>
            <a:off x="0" y="0"/>
            <a:ext cx="0" cy="0"/>
          </xdr:xfrm>
          <a:graphic>
            <a:graphicData uri="http://schemas.microsoft.com/office/drawing/2010/slicer">
              <sle:slicer xmlns:sle="http://schemas.microsoft.com/office/drawing/2010/slicer" name="slDate"/>
            </a:graphicData>
          </a:graphic>
        </xdr:graphicFrame>
      </mc:Choice>
      <mc:Fallback xmlns="">
        <xdr:sp macro="" textlink="">
          <xdr:nvSpPr>
            <xdr:cNvPr id="0" name=""/>
            <xdr:cNvSpPr>
              <a:spLocks noTextEdit="1"/>
            </xdr:cNvSpPr>
          </xdr:nvSpPr>
          <xdr:spPr>
            <a:xfrm>
              <a:off x="12553950" y="2722562"/>
              <a:ext cx="1712119" cy="1241425"/>
            </a:xfrm>
            <a:prstGeom prst="rect">
              <a:avLst/>
            </a:prstGeom>
            <a:solidFill>
              <a:prstClr val="white"/>
            </a:solidFill>
            <a:ln w="1">
              <a:solidFill>
                <a:prstClr val="green"/>
              </a:solidFill>
            </a:ln>
          </xdr:spPr>
          <xdr:txBody>
            <a:bodyPr vertOverflow="clip" horzOverflow="clip"/>
            <a:lstStyle/>
            <a:p>
              <a:r>
                <a:rPr lang="en-C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0</xdr:col>
      <xdr:colOff>0</xdr:colOff>
      <xdr:row>12</xdr:row>
      <xdr:rowOff>154781</xdr:rowOff>
    </xdr:from>
    <xdr:to>
      <xdr:col>4</xdr:col>
      <xdr:colOff>1143000</xdr:colOff>
      <xdr:row>23</xdr:row>
      <xdr:rowOff>47625</xdr:rowOff>
    </xdr:to>
    <xdr:graphicFrame macro="">
      <xdr:nvGraphicFramePr>
        <xdr:cNvPr id="17" name="Stock by Category">
          <a:extLst>
            <a:ext uri="{FF2B5EF4-FFF2-40B4-BE49-F238E27FC236}">
              <a16:creationId xmlns:a16="http://schemas.microsoft.com/office/drawing/2014/main" id="{C139F2CE-8A4D-0DC0-DD4A-619872C84A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130969</xdr:colOff>
      <xdr:row>6</xdr:row>
      <xdr:rowOff>107156</xdr:rowOff>
    </xdr:from>
    <xdr:to>
      <xdr:col>17</xdr:col>
      <xdr:colOff>11906</xdr:colOff>
      <xdr:row>43</xdr:row>
      <xdr:rowOff>11905</xdr:rowOff>
    </xdr:to>
    <xdr:graphicFrame macro="">
      <xdr:nvGraphicFramePr>
        <xdr:cNvPr id="18" name="Stock Value by Supplier">
          <a:extLst>
            <a:ext uri="{FF2B5EF4-FFF2-40B4-BE49-F238E27FC236}">
              <a16:creationId xmlns:a16="http://schemas.microsoft.com/office/drawing/2014/main" id="{CE182A04-8649-872E-DCB5-AEE9212464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30</xdr:row>
      <xdr:rowOff>0</xdr:rowOff>
    </xdr:from>
    <xdr:to>
      <xdr:col>9</xdr:col>
      <xdr:colOff>0</xdr:colOff>
      <xdr:row>43</xdr:row>
      <xdr:rowOff>0</xdr:rowOff>
    </xdr:to>
    <xdr:graphicFrame macro="">
      <xdr:nvGraphicFramePr>
        <xdr:cNvPr id="19" name="Monthly Stock Movement">
          <a:extLst>
            <a:ext uri="{FF2B5EF4-FFF2-40B4-BE49-F238E27FC236}">
              <a16:creationId xmlns:a16="http://schemas.microsoft.com/office/drawing/2014/main" id="{C9C7BF3F-290B-93F5-513D-5E5E9586DF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30</xdr:row>
      <xdr:rowOff>0</xdr:rowOff>
    </xdr:from>
    <xdr:to>
      <xdr:col>3</xdr:col>
      <xdr:colOff>0</xdr:colOff>
      <xdr:row>43</xdr:row>
      <xdr:rowOff>0</xdr:rowOff>
    </xdr:to>
    <xdr:graphicFrame macro="">
      <xdr:nvGraphicFramePr>
        <xdr:cNvPr id="20" name="Top 5 Fastest Movers">
          <a:extLst>
            <a:ext uri="{FF2B5EF4-FFF2-40B4-BE49-F238E27FC236}">
              <a16:creationId xmlns:a16="http://schemas.microsoft.com/office/drawing/2014/main" id="{E1D528D2-AD57-5E2B-B227-568B7FC9E8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ghi Heshmati" refreshedDate="46210.393591898151" createdVersion="8" refreshedVersion="8" minRefreshableVersion="3" recordCount="500" xr:uid="{9B53C25E-E948-494B-B80A-41C51BA17FBC}">
  <cacheSource type="worksheet">
    <worksheetSource name="tblPivotSlicerData"/>
  </cacheSource>
  <cacheFields count="9">
    <cacheField name="Date" numFmtId="17">
      <sharedItems containsMixedTypes="1" containsNumber="1" containsInteger="1" minValue="0" maxValue="0" count="2">
        <s v=""/>
        <n v="0" u="1"/>
      </sharedItems>
    </cacheField>
    <cacheField name="ProductID" numFmtId="0">
      <sharedItems/>
    </cacheField>
    <cacheField name="Location" numFmtId="0">
      <sharedItems/>
    </cacheField>
    <cacheField name="Quantity" numFmtId="0">
      <sharedItems/>
    </cacheField>
    <cacheField name="Type" numFmtId="0">
      <sharedItems/>
    </cacheField>
    <cacheField name="ProductName" numFmtId="0">
      <sharedItems count="6">
        <s v=""/>
        <s v="Signature Hoodie" u="1"/>
        <s v="Artisan Snack Box" u="1"/>
        <s v="Reusable Bottle" u="1"/>
        <s v="Premium Notebook" u="1"/>
        <s v="Mini Puzzle Cube" u="1"/>
      </sharedItems>
    </cacheField>
    <cacheField name="Category" numFmtId="0">
      <sharedItems count="6">
        <s v=""/>
        <s v="Apparel" u="1"/>
        <s v="Food &amp; Drink" u="1"/>
        <s v="Lifestyle" u="1"/>
        <s v="Stationery" u="1"/>
        <s v="Toys &amp; Gadgets" u="1"/>
      </sharedItems>
    </cacheField>
    <cacheField name="Supplier" numFmtId="0">
      <sharedItems count="6">
        <s v=""/>
        <s v="CozyWear Co." u="1"/>
        <s v="Snack Masters" u="1"/>
        <s v="EcoLiving Pty Ltd." u="1"/>
        <s v="PaperWorks Supplies" u="1"/>
        <s v="FunZone Imports" u="1"/>
      </sharedItems>
    </cacheField>
    <cacheField name="StockValue" numFmtId="0">
      <sharedItems/>
    </cacheField>
  </cacheFields>
  <extLst>
    <ext xmlns:x14="http://schemas.microsoft.com/office/spreadsheetml/2009/9/main" uri="{725AE2AE-9491-48be-B2B4-4EB974FC3084}">
      <x14:pivotCacheDefinition pivotCacheId="494725569"/>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ghi Heshmati" refreshedDate="46210.393592592591" createdVersion="8" refreshedVersion="8" minRefreshableVersion="3" recordCount="500" xr:uid="{4E3A7E4E-0884-4CC1-BF53-D66FA7C654ED}">
  <cacheSource type="worksheet">
    <worksheetSource name="tblTrans"/>
  </cacheSource>
  <cacheFields count="7">
    <cacheField name="TransID" numFmtId="0">
      <sharedItems/>
    </cacheField>
    <cacheField name="Date" numFmtId="14">
      <sharedItems containsBlank="1"/>
    </cacheField>
    <cacheField name="ProductID" numFmtId="0">
      <sharedItems containsBlank="1"/>
    </cacheField>
    <cacheField name="Location" numFmtId="0">
      <sharedItems containsBlank="1"/>
    </cacheField>
    <cacheField name="Quantity" numFmtId="3">
      <sharedItems containsBlank="1"/>
    </cacheField>
    <cacheField name="Type" numFmtId="0">
      <sharedItems containsBlank="1"/>
    </cacheField>
    <cacheField name="Notes" numFmtId="0">
      <sharedItems containsBlank="1"/>
    </cacheField>
  </cacheFields>
  <extLst>
    <ext xmlns:x14="http://schemas.microsoft.com/office/spreadsheetml/2009/9/main" uri="{725AE2AE-9491-48be-B2B4-4EB974FC3084}">
      <x14:pivotCacheDefinition pivotCacheId="2140548116"/>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ghi Heshmati" refreshedDate="46210.393592708337" createdVersion="8" refreshedVersion="8" minRefreshableVersion="3" recordCount="5" xr:uid="{A27C0986-F5CB-4416-927C-E51FE044FD16}">
  <cacheSource type="worksheet">
    <worksheetSource name="tblInventory"/>
  </cacheSource>
  <cacheFields count="8">
    <cacheField name="ProductID" numFmtId="0">
      <sharedItems containsBlank="1"/>
    </cacheField>
    <cacheField name="ProductName" numFmtId="0">
      <sharedItems/>
    </cacheField>
    <cacheField name="Location" numFmtId="0">
      <sharedItems containsBlank="1"/>
    </cacheField>
    <cacheField name="UnitCost" numFmtId="164">
      <sharedItems/>
    </cacheField>
    <cacheField name="ReorderLevel" numFmtId="3">
      <sharedItems/>
    </cacheField>
    <cacheField name="QuantityOnHand" numFmtId="3">
      <sharedItems/>
    </cacheField>
    <cacheField name="StockValue" numFmtId="3">
      <sharedItems/>
    </cacheField>
    <cacheField name="ReorderFlag"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0">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r>
    <x v="0"/>
    <s v=""/>
    <s v=""/>
    <s v=""/>
    <s v=""/>
    <x v="0"/>
    <x v="0"/>
    <x v="0"/>
    <s v=""/>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0">
  <r>
    <s v="T001"/>
    <s v="Date"/>
    <s v="ProductID"/>
    <s v="Location"/>
    <s v="Quantity"/>
    <s v="Type (Sale, Purchase, Adjustment, Opening Stock)"/>
    <s v="Notes"/>
  </r>
  <r>
    <s v="T002"/>
    <m/>
    <m/>
    <m/>
    <m/>
    <m/>
    <m/>
  </r>
  <r>
    <s v="T003"/>
    <m/>
    <m/>
    <m/>
    <m/>
    <m/>
    <m/>
  </r>
  <r>
    <s v="T004"/>
    <m/>
    <m/>
    <m/>
    <m/>
    <m/>
    <m/>
  </r>
  <r>
    <s v="T005"/>
    <m/>
    <m/>
    <m/>
    <m/>
    <m/>
    <m/>
  </r>
  <r>
    <s v="T006"/>
    <m/>
    <m/>
    <m/>
    <m/>
    <m/>
    <m/>
  </r>
  <r>
    <s v="T007"/>
    <m/>
    <m/>
    <m/>
    <m/>
    <m/>
    <m/>
  </r>
  <r>
    <s v="T008"/>
    <m/>
    <m/>
    <m/>
    <m/>
    <m/>
    <m/>
  </r>
  <r>
    <s v="T009"/>
    <m/>
    <m/>
    <m/>
    <m/>
    <m/>
    <m/>
  </r>
  <r>
    <s v="T010"/>
    <m/>
    <m/>
    <m/>
    <m/>
    <m/>
    <m/>
  </r>
  <r>
    <s v="T011"/>
    <m/>
    <m/>
    <m/>
    <m/>
    <m/>
    <m/>
  </r>
  <r>
    <s v="T012"/>
    <m/>
    <m/>
    <m/>
    <m/>
    <m/>
    <m/>
  </r>
  <r>
    <s v="T013"/>
    <m/>
    <m/>
    <m/>
    <m/>
    <m/>
    <m/>
  </r>
  <r>
    <s v="T014"/>
    <m/>
    <m/>
    <m/>
    <m/>
    <m/>
    <m/>
  </r>
  <r>
    <s v="T015"/>
    <m/>
    <m/>
    <m/>
    <m/>
    <m/>
    <m/>
  </r>
  <r>
    <s v="T016"/>
    <m/>
    <m/>
    <m/>
    <m/>
    <m/>
    <m/>
  </r>
  <r>
    <s v="T017"/>
    <m/>
    <m/>
    <m/>
    <m/>
    <m/>
    <m/>
  </r>
  <r>
    <s v="T018"/>
    <m/>
    <m/>
    <m/>
    <m/>
    <m/>
    <m/>
  </r>
  <r>
    <s v="T019"/>
    <m/>
    <m/>
    <m/>
    <m/>
    <m/>
    <m/>
  </r>
  <r>
    <s v="T020"/>
    <m/>
    <m/>
    <m/>
    <m/>
    <m/>
    <m/>
  </r>
  <r>
    <s v="T021"/>
    <m/>
    <m/>
    <m/>
    <m/>
    <m/>
    <m/>
  </r>
  <r>
    <s v="T022"/>
    <m/>
    <m/>
    <m/>
    <m/>
    <m/>
    <m/>
  </r>
  <r>
    <s v="T023"/>
    <m/>
    <m/>
    <m/>
    <m/>
    <m/>
    <m/>
  </r>
  <r>
    <s v="T024"/>
    <m/>
    <m/>
    <m/>
    <m/>
    <m/>
    <m/>
  </r>
  <r>
    <s v="T025"/>
    <m/>
    <m/>
    <m/>
    <m/>
    <m/>
    <m/>
  </r>
  <r>
    <s v="T026"/>
    <m/>
    <m/>
    <m/>
    <m/>
    <m/>
    <m/>
  </r>
  <r>
    <s v="T027"/>
    <m/>
    <m/>
    <m/>
    <m/>
    <m/>
    <m/>
  </r>
  <r>
    <s v="T028"/>
    <m/>
    <m/>
    <m/>
    <m/>
    <m/>
    <m/>
  </r>
  <r>
    <s v="T029"/>
    <m/>
    <m/>
    <m/>
    <m/>
    <m/>
    <m/>
  </r>
  <r>
    <s v="T030"/>
    <m/>
    <m/>
    <m/>
    <m/>
    <m/>
    <m/>
  </r>
  <r>
    <s v="T031"/>
    <m/>
    <m/>
    <m/>
    <m/>
    <m/>
    <m/>
  </r>
  <r>
    <s v="T032"/>
    <m/>
    <m/>
    <m/>
    <m/>
    <m/>
    <m/>
  </r>
  <r>
    <s v="T033"/>
    <m/>
    <m/>
    <m/>
    <m/>
    <m/>
    <m/>
  </r>
  <r>
    <s v="T034"/>
    <m/>
    <m/>
    <m/>
    <m/>
    <m/>
    <m/>
  </r>
  <r>
    <s v="T035"/>
    <m/>
    <m/>
    <m/>
    <m/>
    <m/>
    <m/>
  </r>
  <r>
    <s v="T036"/>
    <m/>
    <m/>
    <m/>
    <m/>
    <m/>
    <m/>
  </r>
  <r>
    <s v="T037"/>
    <m/>
    <m/>
    <m/>
    <m/>
    <m/>
    <m/>
  </r>
  <r>
    <s v="T038"/>
    <m/>
    <m/>
    <m/>
    <m/>
    <m/>
    <m/>
  </r>
  <r>
    <s v="T039"/>
    <m/>
    <m/>
    <m/>
    <m/>
    <m/>
    <m/>
  </r>
  <r>
    <s v="T040"/>
    <m/>
    <m/>
    <m/>
    <m/>
    <m/>
    <m/>
  </r>
  <r>
    <s v="T041"/>
    <m/>
    <m/>
    <m/>
    <m/>
    <m/>
    <m/>
  </r>
  <r>
    <s v="T042"/>
    <m/>
    <m/>
    <m/>
    <m/>
    <m/>
    <m/>
  </r>
  <r>
    <s v="T043"/>
    <m/>
    <m/>
    <m/>
    <m/>
    <m/>
    <m/>
  </r>
  <r>
    <s v="T044"/>
    <m/>
    <m/>
    <m/>
    <m/>
    <m/>
    <m/>
  </r>
  <r>
    <s v="T045"/>
    <m/>
    <m/>
    <m/>
    <m/>
    <m/>
    <m/>
  </r>
  <r>
    <s v="T046"/>
    <m/>
    <m/>
    <m/>
    <m/>
    <m/>
    <m/>
  </r>
  <r>
    <s v="T047"/>
    <m/>
    <m/>
    <m/>
    <m/>
    <m/>
    <m/>
  </r>
  <r>
    <s v="T048"/>
    <m/>
    <m/>
    <m/>
    <m/>
    <m/>
    <m/>
  </r>
  <r>
    <s v="T049"/>
    <m/>
    <m/>
    <m/>
    <m/>
    <m/>
    <m/>
  </r>
  <r>
    <s v="T050"/>
    <m/>
    <m/>
    <m/>
    <m/>
    <m/>
    <m/>
  </r>
  <r>
    <s v="T051"/>
    <m/>
    <m/>
    <m/>
    <m/>
    <m/>
    <m/>
  </r>
  <r>
    <s v="T052"/>
    <m/>
    <m/>
    <m/>
    <m/>
    <m/>
    <m/>
  </r>
  <r>
    <s v="T053"/>
    <m/>
    <m/>
    <m/>
    <m/>
    <m/>
    <m/>
  </r>
  <r>
    <s v="T054"/>
    <m/>
    <m/>
    <m/>
    <m/>
    <m/>
    <m/>
  </r>
  <r>
    <s v="T055"/>
    <m/>
    <m/>
    <m/>
    <m/>
    <m/>
    <m/>
  </r>
  <r>
    <s v="T056"/>
    <m/>
    <m/>
    <m/>
    <m/>
    <m/>
    <m/>
  </r>
  <r>
    <s v="T057"/>
    <m/>
    <m/>
    <m/>
    <m/>
    <m/>
    <m/>
  </r>
  <r>
    <s v="T058"/>
    <m/>
    <m/>
    <m/>
    <m/>
    <m/>
    <m/>
  </r>
  <r>
    <s v="T059"/>
    <m/>
    <m/>
    <m/>
    <m/>
    <m/>
    <m/>
  </r>
  <r>
    <s v="T060"/>
    <m/>
    <m/>
    <m/>
    <m/>
    <m/>
    <m/>
  </r>
  <r>
    <s v="T061"/>
    <m/>
    <m/>
    <m/>
    <m/>
    <m/>
    <m/>
  </r>
  <r>
    <s v="T062"/>
    <m/>
    <m/>
    <m/>
    <m/>
    <m/>
    <m/>
  </r>
  <r>
    <s v="T063"/>
    <m/>
    <m/>
    <m/>
    <m/>
    <m/>
    <m/>
  </r>
  <r>
    <s v="T064"/>
    <m/>
    <m/>
    <m/>
    <m/>
    <m/>
    <m/>
  </r>
  <r>
    <s v="T065"/>
    <m/>
    <m/>
    <m/>
    <m/>
    <m/>
    <m/>
  </r>
  <r>
    <s v="T066"/>
    <m/>
    <m/>
    <m/>
    <m/>
    <m/>
    <m/>
  </r>
  <r>
    <s v="T067"/>
    <m/>
    <m/>
    <m/>
    <m/>
    <m/>
    <m/>
  </r>
  <r>
    <s v="T068"/>
    <m/>
    <m/>
    <m/>
    <m/>
    <m/>
    <m/>
  </r>
  <r>
    <s v="T069"/>
    <m/>
    <m/>
    <m/>
    <m/>
    <m/>
    <m/>
  </r>
  <r>
    <s v="T070"/>
    <m/>
    <m/>
    <m/>
    <m/>
    <m/>
    <m/>
  </r>
  <r>
    <s v="T071"/>
    <m/>
    <m/>
    <m/>
    <m/>
    <m/>
    <m/>
  </r>
  <r>
    <s v="T072"/>
    <m/>
    <m/>
    <m/>
    <m/>
    <m/>
    <m/>
  </r>
  <r>
    <s v="T073"/>
    <m/>
    <m/>
    <m/>
    <m/>
    <m/>
    <m/>
  </r>
  <r>
    <s v="T074"/>
    <m/>
    <m/>
    <m/>
    <m/>
    <m/>
    <m/>
  </r>
  <r>
    <s v="T075"/>
    <m/>
    <m/>
    <m/>
    <m/>
    <m/>
    <m/>
  </r>
  <r>
    <s v="T076"/>
    <m/>
    <m/>
    <m/>
    <m/>
    <m/>
    <m/>
  </r>
  <r>
    <s v="T077"/>
    <m/>
    <m/>
    <m/>
    <m/>
    <m/>
    <m/>
  </r>
  <r>
    <s v="T078"/>
    <m/>
    <m/>
    <m/>
    <m/>
    <m/>
    <m/>
  </r>
  <r>
    <s v="T079"/>
    <m/>
    <m/>
    <m/>
    <m/>
    <m/>
    <m/>
  </r>
  <r>
    <s v="T080"/>
    <m/>
    <m/>
    <m/>
    <m/>
    <m/>
    <m/>
  </r>
  <r>
    <s v="T081"/>
    <m/>
    <m/>
    <m/>
    <m/>
    <m/>
    <m/>
  </r>
  <r>
    <s v="T082"/>
    <m/>
    <m/>
    <m/>
    <m/>
    <m/>
    <m/>
  </r>
  <r>
    <s v="T083"/>
    <m/>
    <m/>
    <m/>
    <m/>
    <m/>
    <m/>
  </r>
  <r>
    <s v="T084"/>
    <m/>
    <m/>
    <m/>
    <m/>
    <m/>
    <m/>
  </r>
  <r>
    <s v="T085"/>
    <m/>
    <m/>
    <m/>
    <m/>
    <m/>
    <m/>
  </r>
  <r>
    <s v="T086"/>
    <m/>
    <m/>
    <m/>
    <m/>
    <m/>
    <m/>
  </r>
  <r>
    <s v="T087"/>
    <m/>
    <m/>
    <m/>
    <m/>
    <m/>
    <m/>
  </r>
  <r>
    <s v="T088"/>
    <m/>
    <m/>
    <m/>
    <m/>
    <m/>
    <m/>
  </r>
  <r>
    <s v="T089"/>
    <m/>
    <m/>
    <m/>
    <m/>
    <m/>
    <m/>
  </r>
  <r>
    <s v="T090"/>
    <m/>
    <m/>
    <m/>
    <m/>
    <m/>
    <m/>
  </r>
  <r>
    <s v="T091"/>
    <m/>
    <m/>
    <m/>
    <m/>
    <m/>
    <m/>
  </r>
  <r>
    <s v="T092"/>
    <m/>
    <m/>
    <m/>
    <m/>
    <m/>
    <m/>
  </r>
  <r>
    <s v="T093"/>
    <m/>
    <m/>
    <m/>
    <m/>
    <m/>
    <m/>
  </r>
  <r>
    <s v="T094"/>
    <m/>
    <m/>
    <m/>
    <m/>
    <m/>
    <m/>
  </r>
  <r>
    <s v="T095"/>
    <m/>
    <m/>
    <m/>
    <m/>
    <m/>
    <m/>
  </r>
  <r>
    <s v="T096"/>
    <m/>
    <m/>
    <m/>
    <m/>
    <m/>
    <m/>
  </r>
  <r>
    <s v="T097"/>
    <m/>
    <m/>
    <m/>
    <m/>
    <m/>
    <m/>
  </r>
  <r>
    <s v="T098"/>
    <m/>
    <m/>
    <m/>
    <m/>
    <m/>
    <m/>
  </r>
  <r>
    <s v="T099"/>
    <m/>
    <m/>
    <m/>
    <m/>
    <m/>
    <m/>
  </r>
  <r>
    <s v="T100"/>
    <m/>
    <m/>
    <m/>
    <m/>
    <m/>
    <m/>
  </r>
  <r>
    <s v="T101"/>
    <m/>
    <m/>
    <m/>
    <m/>
    <m/>
    <m/>
  </r>
  <r>
    <s v="T102"/>
    <m/>
    <m/>
    <m/>
    <m/>
    <m/>
    <m/>
  </r>
  <r>
    <s v="T103"/>
    <m/>
    <m/>
    <m/>
    <m/>
    <m/>
    <m/>
  </r>
  <r>
    <s v="T104"/>
    <m/>
    <m/>
    <m/>
    <m/>
    <m/>
    <m/>
  </r>
  <r>
    <s v="T105"/>
    <m/>
    <m/>
    <m/>
    <m/>
    <m/>
    <m/>
  </r>
  <r>
    <s v="T106"/>
    <m/>
    <m/>
    <m/>
    <m/>
    <m/>
    <m/>
  </r>
  <r>
    <s v="T107"/>
    <m/>
    <m/>
    <m/>
    <m/>
    <m/>
    <m/>
  </r>
  <r>
    <s v="T108"/>
    <m/>
    <m/>
    <m/>
    <m/>
    <m/>
    <m/>
  </r>
  <r>
    <s v="T109"/>
    <m/>
    <m/>
    <m/>
    <m/>
    <m/>
    <m/>
  </r>
  <r>
    <s v="T110"/>
    <m/>
    <m/>
    <m/>
    <m/>
    <m/>
    <m/>
  </r>
  <r>
    <s v="T111"/>
    <m/>
    <m/>
    <m/>
    <m/>
    <m/>
    <m/>
  </r>
  <r>
    <s v="T112"/>
    <m/>
    <m/>
    <m/>
    <m/>
    <m/>
    <m/>
  </r>
  <r>
    <s v="T113"/>
    <m/>
    <m/>
    <m/>
    <m/>
    <m/>
    <m/>
  </r>
  <r>
    <s v="T114"/>
    <m/>
    <m/>
    <m/>
    <m/>
    <m/>
    <m/>
  </r>
  <r>
    <s v="T115"/>
    <m/>
    <m/>
    <m/>
    <m/>
    <m/>
    <m/>
  </r>
  <r>
    <s v="T116"/>
    <m/>
    <m/>
    <m/>
    <m/>
    <m/>
    <m/>
  </r>
  <r>
    <s v="T117"/>
    <m/>
    <m/>
    <m/>
    <m/>
    <m/>
    <m/>
  </r>
  <r>
    <s v="T118"/>
    <m/>
    <m/>
    <m/>
    <m/>
    <m/>
    <m/>
  </r>
  <r>
    <s v="T119"/>
    <m/>
    <m/>
    <m/>
    <m/>
    <m/>
    <m/>
  </r>
  <r>
    <s v="T120"/>
    <m/>
    <m/>
    <m/>
    <m/>
    <m/>
    <m/>
  </r>
  <r>
    <s v="T121"/>
    <m/>
    <m/>
    <m/>
    <m/>
    <m/>
    <m/>
  </r>
  <r>
    <s v="T122"/>
    <m/>
    <m/>
    <m/>
    <m/>
    <m/>
    <m/>
  </r>
  <r>
    <s v="T123"/>
    <m/>
    <m/>
    <m/>
    <m/>
    <m/>
    <m/>
  </r>
  <r>
    <s v="T124"/>
    <m/>
    <m/>
    <m/>
    <m/>
    <m/>
    <m/>
  </r>
  <r>
    <s v="T125"/>
    <m/>
    <m/>
    <m/>
    <m/>
    <m/>
    <m/>
  </r>
  <r>
    <s v="T126"/>
    <m/>
    <m/>
    <m/>
    <m/>
    <m/>
    <m/>
  </r>
  <r>
    <s v="T127"/>
    <m/>
    <m/>
    <m/>
    <m/>
    <m/>
    <m/>
  </r>
  <r>
    <s v="T128"/>
    <m/>
    <m/>
    <m/>
    <m/>
    <m/>
    <m/>
  </r>
  <r>
    <s v="T129"/>
    <m/>
    <m/>
    <m/>
    <m/>
    <m/>
    <m/>
  </r>
  <r>
    <s v="T130"/>
    <m/>
    <m/>
    <m/>
    <m/>
    <m/>
    <m/>
  </r>
  <r>
    <s v="T131"/>
    <m/>
    <m/>
    <m/>
    <m/>
    <m/>
    <m/>
  </r>
  <r>
    <s v="T132"/>
    <m/>
    <m/>
    <m/>
    <m/>
    <m/>
    <m/>
  </r>
  <r>
    <s v="T133"/>
    <m/>
    <m/>
    <m/>
    <m/>
    <m/>
    <m/>
  </r>
  <r>
    <s v="T134"/>
    <m/>
    <m/>
    <m/>
    <m/>
    <m/>
    <m/>
  </r>
  <r>
    <s v="T135"/>
    <m/>
    <m/>
    <m/>
    <m/>
    <m/>
    <m/>
  </r>
  <r>
    <s v="T136"/>
    <m/>
    <m/>
    <m/>
    <m/>
    <m/>
    <m/>
  </r>
  <r>
    <s v="T137"/>
    <m/>
    <m/>
    <m/>
    <m/>
    <m/>
    <m/>
  </r>
  <r>
    <s v="T138"/>
    <m/>
    <m/>
    <m/>
    <m/>
    <m/>
    <m/>
  </r>
  <r>
    <s v="T139"/>
    <m/>
    <m/>
    <m/>
    <m/>
    <m/>
    <m/>
  </r>
  <r>
    <s v="T140"/>
    <m/>
    <m/>
    <m/>
    <m/>
    <m/>
    <m/>
  </r>
  <r>
    <s v="T141"/>
    <m/>
    <m/>
    <m/>
    <m/>
    <m/>
    <m/>
  </r>
  <r>
    <s v="T142"/>
    <m/>
    <m/>
    <m/>
    <m/>
    <m/>
    <m/>
  </r>
  <r>
    <s v="T143"/>
    <m/>
    <m/>
    <m/>
    <m/>
    <m/>
    <m/>
  </r>
  <r>
    <s v="T144"/>
    <m/>
    <m/>
    <m/>
    <m/>
    <m/>
    <m/>
  </r>
  <r>
    <s v="T145"/>
    <m/>
    <m/>
    <m/>
    <m/>
    <m/>
    <m/>
  </r>
  <r>
    <s v="T146"/>
    <m/>
    <m/>
    <m/>
    <m/>
    <m/>
    <m/>
  </r>
  <r>
    <s v="T147"/>
    <m/>
    <m/>
    <m/>
    <m/>
    <m/>
    <m/>
  </r>
  <r>
    <s v="T148"/>
    <m/>
    <m/>
    <m/>
    <m/>
    <m/>
    <m/>
  </r>
  <r>
    <s v="T149"/>
    <m/>
    <m/>
    <m/>
    <m/>
    <m/>
    <m/>
  </r>
  <r>
    <s v="T150"/>
    <m/>
    <m/>
    <m/>
    <m/>
    <m/>
    <m/>
  </r>
  <r>
    <s v="T151"/>
    <m/>
    <m/>
    <m/>
    <m/>
    <m/>
    <m/>
  </r>
  <r>
    <s v="T152"/>
    <m/>
    <m/>
    <m/>
    <m/>
    <m/>
    <m/>
  </r>
  <r>
    <s v="T153"/>
    <m/>
    <m/>
    <m/>
    <m/>
    <m/>
    <m/>
  </r>
  <r>
    <s v="T154"/>
    <m/>
    <m/>
    <m/>
    <m/>
    <m/>
    <m/>
  </r>
  <r>
    <s v="T155"/>
    <m/>
    <m/>
    <m/>
    <m/>
    <m/>
    <m/>
  </r>
  <r>
    <s v="T156"/>
    <m/>
    <m/>
    <m/>
    <m/>
    <m/>
    <m/>
  </r>
  <r>
    <s v="T157"/>
    <m/>
    <m/>
    <m/>
    <m/>
    <m/>
    <m/>
  </r>
  <r>
    <s v="T158"/>
    <m/>
    <m/>
    <m/>
    <m/>
    <m/>
    <m/>
  </r>
  <r>
    <s v="T159"/>
    <m/>
    <m/>
    <m/>
    <m/>
    <m/>
    <m/>
  </r>
  <r>
    <s v="T160"/>
    <m/>
    <m/>
    <m/>
    <m/>
    <m/>
    <m/>
  </r>
  <r>
    <s v="T161"/>
    <m/>
    <m/>
    <m/>
    <m/>
    <m/>
    <m/>
  </r>
  <r>
    <s v="T162"/>
    <m/>
    <m/>
    <m/>
    <m/>
    <m/>
    <m/>
  </r>
  <r>
    <s v="T163"/>
    <m/>
    <m/>
    <m/>
    <m/>
    <m/>
    <m/>
  </r>
  <r>
    <s v="T164"/>
    <m/>
    <m/>
    <m/>
    <m/>
    <m/>
    <m/>
  </r>
  <r>
    <s v="T165"/>
    <m/>
    <m/>
    <m/>
    <m/>
    <m/>
    <m/>
  </r>
  <r>
    <s v="T166"/>
    <m/>
    <m/>
    <m/>
    <m/>
    <m/>
    <m/>
  </r>
  <r>
    <s v="T167"/>
    <m/>
    <m/>
    <m/>
    <m/>
    <m/>
    <m/>
  </r>
  <r>
    <s v="T168"/>
    <m/>
    <m/>
    <m/>
    <m/>
    <m/>
    <m/>
  </r>
  <r>
    <s v="T169"/>
    <m/>
    <m/>
    <m/>
    <m/>
    <m/>
    <m/>
  </r>
  <r>
    <s v="T170"/>
    <m/>
    <m/>
    <m/>
    <m/>
    <m/>
    <m/>
  </r>
  <r>
    <s v="T171"/>
    <m/>
    <m/>
    <m/>
    <m/>
    <m/>
    <m/>
  </r>
  <r>
    <s v="T172"/>
    <m/>
    <m/>
    <m/>
    <m/>
    <m/>
    <m/>
  </r>
  <r>
    <s v="T173"/>
    <m/>
    <m/>
    <m/>
    <m/>
    <m/>
    <m/>
  </r>
  <r>
    <s v="T174"/>
    <m/>
    <m/>
    <m/>
    <m/>
    <m/>
    <m/>
  </r>
  <r>
    <s v="T175"/>
    <m/>
    <m/>
    <m/>
    <m/>
    <m/>
    <m/>
  </r>
  <r>
    <s v="T176"/>
    <m/>
    <m/>
    <m/>
    <m/>
    <m/>
    <m/>
  </r>
  <r>
    <s v="T177"/>
    <m/>
    <m/>
    <m/>
    <m/>
    <m/>
    <m/>
  </r>
  <r>
    <s v="T178"/>
    <m/>
    <m/>
    <m/>
    <m/>
    <m/>
    <m/>
  </r>
  <r>
    <s v="T179"/>
    <m/>
    <m/>
    <m/>
    <m/>
    <m/>
    <m/>
  </r>
  <r>
    <s v="T180"/>
    <m/>
    <m/>
    <m/>
    <m/>
    <m/>
    <m/>
  </r>
  <r>
    <s v="T181"/>
    <m/>
    <m/>
    <m/>
    <m/>
    <m/>
    <m/>
  </r>
  <r>
    <s v="T182"/>
    <m/>
    <m/>
    <m/>
    <m/>
    <m/>
    <m/>
  </r>
  <r>
    <s v="T183"/>
    <m/>
    <m/>
    <m/>
    <m/>
    <m/>
    <m/>
  </r>
  <r>
    <s v="T184"/>
    <m/>
    <m/>
    <m/>
    <m/>
    <m/>
    <m/>
  </r>
  <r>
    <s v="T185"/>
    <m/>
    <m/>
    <m/>
    <m/>
    <m/>
    <m/>
  </r>
  <r>
    <s v="T186"/>
    <m/>
    <m/>
    <m/>
    <m/>
    <m/>
    <m/>
  </r>
  <r>
    <s v="T187"/>
    <m/>
    <m/>
    <m/>
    <m/>
    <m/>
    <m/>
  </r>
  <r>
    <s v="T188"/>
    <m/>
    <m/>
    <m/>
    <m/>
    <m/>
    <m/>
  </r>
  <r>
    <s v="T189"/>
    <m/>
    <m/>
    <m/>
    <m/>
    <m/>
    <m/>
  </r>
  <r>
    <s v="T190"/>
    <m/>
    <m/>
    <m/>
    <m/>
    <m/>
    <m/>
  </r>
  <r>
    <s v="T191"/>
    <m/>
    <m/>
    <m/>
    <m/>
    <m/>
    <m/>
  </r>
  <r>
    <s v="T192"/>
    <m/>
    <m/>
    <m/>
    <m/>
    <m/>
    <m/>
  </r>
  <r>
    <s v="T193"/>
    <m/>
    <m/>
    <m/>
    <m/>
    <m/>
    <m/>
  </r>
  <r>
    <s v="T194"/>
    <m/>
    <m/>
    <m/>
    <m/>
    <m/>
    <m/>
  </r>
  <r>
    <s v="T195"/>
    <m/>
    <m/>
    <m/>
    <m/>
    <m/>
    <m/>
  </r>
  <r>
    <s v="T196"/>
    <m/>
    <m/>
    <m/>
    <m/>
    <m/>
    <m/>
  </r>
  <r>
    <s v="T197"/>
    <m/>
    <m/>
    <m/>
    <m/>
    <m/>
    <m/>
  </r>
  <r>
    <s v="T198"/>
    <m/>
    <m/>
    <m/>
    <m/>
    <m/>
    <m/>
  </r>
  <r>
    <s v="T199"/>
    <m/>
    <m/>
    <m/>
    <m/>
    <m/>
    <m/>
  </r>
  <r>
    <s v="T200"/>
    <m/>
    <m/>
    <m/>
    <m/>
    <m/>
    <m/>
  </r>
  <r>
    <s v="T201"/>
    <m/>
    <m/>
    <m/>
    <m/>
    <m/>
    <m/>
  </r>
  <r>
    <s v="T202"/>
    <m/>
    <m/>
    <m/>
    <m/>
    <m/>
    <m/>
  </r>
  <r>
    <s v="T203"/>
    <m/>
    <m/>
    <m/>
    <m/>
    <m/>
    <m/>
  </r>
  <r>
    <s v="T204"/>
    <m/>
    <m/>
    <m/>
    <m/>
    <m/>
    <m/>
  </r>
  <r>
    <s v="T205"/>
    <m/>
    <m/>
    <m/>
    <m/>
    <m/>
    <m/>
  </r>
  <r>
    <s v="T206"/>
    <m/>
    <m/>
    <m/>
    <m/>
    <m/>
    <m/>
  </r>
  <r>
    <s v="T207"/>
    <m/>
    <m/>
    <m/>
    <m/>
    <m/>
    <m/>
  </r>
  <r>
    <s v="T208"/>
    <m/>
    <m/>
    <m/>
    <m/>
    <m/>
    <m/>
  </r>
  <r>
    <s v="T209"/>
    <m/>
    <m/>
    <m/>
    <m/>
    <m/>
    <m/>
  </r>
  <r>
    <s v="T210"/>
    <m/>
    <m/>
    <m/>
    <m/>
    <m/>
    <m/>
  </r>
  <r>
    <s v="T211"/>
    <m/>
    <m/>
    <m/>
    <m/>
    <m/>
    <m/>
  </r>
  <r>
    <s v="T212"/>
    <m/>
    <m/>
    <m/>
    <m/>
    <m/>
    <m/>
  </r>
  <r>
    <s v="T213"/>
    <m/>
    <m/>
    <m/>
    <m/>
    <m/>
    <m/>
  </r>
  <r>
    <s v="T214"/>
    <m/>
    <m/>
    <m/>
    <m/>
    <m/>
    <m/>
  </r>
  <r>
    <s v="T215"/>
    <m/>
    <m/>
    <m/>
    <m/>
    <m/>
    <m/>
  </r>
  <r>
    <s v="T216"/>
    <m/>
    <m/>
    <m/>
    <m/>
    <m/>
    <m/>
  </r>
  <r>
    <s v="T217"/>
    <m/>
    <m/>
    <m/>
    <m/>
    <m/>
    <m/>
  </r>
  <r>
    <s v="T218"/>
    <m/>
    <m/>
    <m/>
    <m/>
    <m/>
    <m/>
  </r>
  <r>
    <s v="T219"/>
    <m/>
    <m/>
    <m/>
    <m/>
    <m/>
    <m/>
  </r>
  <r>
    <s v="T220"/>
    <m/>
    <m/>
    <m/>
    <m/>
    <m/>
    <m/>
  </r>
  <r>
    <s v="T221"/>
    <m/>
    <m/>
    <m/>
    <m/>
    <m/>
    <m/>
  </r>
  <r>
    <s v="T222"/>
    <m/>
    <m/>
    <m/>
    <m/>
    <m/>
    <m/>
  </r>
  <r>
    <s v="T223"/>
    <m/>
    <m/>
    <m/>
    <m/>
    <m/>
    <m/>
  </r>
  <r>
    <s v="T224"/>
    <m/>
    <m/>
    <m/>
    <m/>
    <m/>
    <m/>
  </r>
  <r>
    <s v="T225"/>
    <m/>
    <m/>
    <m/>
    <m/>
    <m/>
    <m/>
  </r>
  <r>
    <s v="T226"/>
    <m/>
    <m/>
    <m/>
    <m/>
    <m/>
    <m/>
  </r>
  <r>
    <s v="T227"/>
    <m/>
    <m/>
    <m/>
    <m/>
    <m/>
    <m/>
  </r>
  <r>
    <s v="T228"/>
    <m/>
    <m/>
    <m/>
    <m/>
    <m/>
    <m/>
  </r>
  <r>
    <s v="T229"/>
    <m/>
    <m/>
    <m/>
    <m/>
    <m/>
    <m/>
  </r>
  <r>
    <s v="T230"/>
    <m/>
    <m/>
    <m/>
    <m/>
    <m/>
    <m/>
  </r>
  <r>
    <s v="T231"/>
    <m/>
    <m/>
    <m/>
    <m/>
    <m/>
    <m/>
  </r>
  <r>
    <s v="T232"/>
    <m/>
    <m/>
    <m/>
    <m/>
    <m/>
    <m/>
  </r>
  <r>
    <s v="T233"/>
    <m/>
    <m/>
    <m/>
    <m/>
    <m/>
    <m/>
  </r>
  <r>
    <s v="T234"/>
    <m/>
    <m/>
    <m/>
    <m/>
    <m/>
    <m/>
  </r>
  <r>
    <s v="T235"/>
    <m/>
    <m/>
    <m/>
    <m/>
    <m/>
    <m/>
  </r>
  <r>
    <s v="T236"/>
    <m/>
    <m/>
    <m/>
    <m/>
    <m/>
    <m/>
  </r>
  <r>
    <s v="T237"/>
    <m/>
    <m/>
    <m/>
    <m/>
    <m/>
    <m/>
  </r>
  <r>
    <s v="T238"/>
    <m/>
    <m/>
    <m/>
    <m/>
    <m/>
    <m/>
  </r>
  <r>
    <s v="T239"/>
    <m/>
    <m/>
    <m/>
    <m/>
    <m/>
    <m/>
  </r>
  <r>
    <s v="T240"/>
    <m/>
    <m/>
    <m/>
    <m/>
    <m/>
    <m/>
  </r>
  <r>
    <s v="T241"/>
    <m/>
    <m/>
    <m/>
    <m/>
    <m/>
    <m/>
  </r>
  <r>
    <s v="T242"/>
    <m/>
    <m/>
    <m/>
    <m/>
    <m/>
    <m/>
  </r>
  <r>
    <s v="T243"/>
    <m/>
    <m/>
    <m/>
    <m/>
    <m/>
    <m/>
  </r>
  <r>
    <s v="T244"/>
    <m/>
    <m/>
    <m/>
    <m/>
    <m/>
    <m/>
  </r>
  <r>
    <s v="T245"/>
    <m/>
    <m/>
    <m/>
    <m/>
    <m/>
    <m/>
  </r>
  <r>
    <s v="T246"/>
    <m/>
    <m/>
    <m/>
    <m/>
    <m/>
    <m/>
  </r>
  <r>
    <s v="T247"/>
    <m/>
    <m/>
    <m/>
    <m/>
    <m/>
    <m/>
  </r>
  <r>
    <s v="T248"/>
    <m/>
    <m/>
    <m/>
    <m/>
    <m/>
    <m/>
  </r>
  <r>
    <s v="T249"/>
    <m/>
    <m/>
    <m/>
    <m/>
    <m/>
    <m/>
  </r>
  <r>
    <s v="T250"/>
    <m/>
    <m/>
    <m/>
    <m/>
    <m/>
    <m/>
  </r>
  <r>
    <s v="T251"/>
    <m/>
    <m/>
    <m/>
    <m/>
    <m/>
    <m/>
  </r>
  <r>
    <s v="T252"/>
    <m/>
    <m/>
    <m/>
    <m/>
    <m/>
    <m/>
  </r>
  <r>
    <s v="T253"/>
    <m/>
    <m/>
    <m/>
    <m/>
    <m/>
    <m/>
  </r>
  <r>
    <s v="T254"/>
    <m/>
    <m/>
    <m/>
    <m/>
    <m/>
    <m/>
  </r>
  <r>
    <s v="T255"/>
    <m/>
    <m/>
    <m/>
    <m/>
    <m/>
    <m/>
  </r>
  <r>
    <s v="T256"/>
    <m/>
    <m/>
    <m/>
    <m/>
    <m/>
    <m/>
  </r>
  <r>
    <s v="T257"/>
    <m/>
    <m/>
    <m/>
    <m/>
    <m/>
    <m/>
  </r>
  <r>
    <s v="T258"/>
    <m/>
    <m/>
    <m/>
    <m/>
    <m/>
    <m/>
  </r>
  <r>
    <s v="T259"/>
    <m/>
    <m/>
    <m/>
    <m/>
    <m/>
    <m/>
  </r>
  <r>
    <s v="T260"/>
    <m/>
    <m/>
    <m/>
    <m/>
    <m/>
    <m/>
  </r>
  <r>
    <s v="T261"/>
    <m/>
    <m/>
    <m/>
    <m/>
    <m/>
    <m/>
  </r>
  <r>
    <s v="T262"/>
    <m/>
    <m/>
    <m/>
    <m/>
    <m/>
    <m/>
  </r>
  <r>
    <s v="T263"/>
    <m/>
    <m/>
    <m/>
    <m/>
    <m/>
    <m/>
  </r>
  <r>
    <s v="T264"/>
    <m/>
    <m/>
    <m/>
    <m/>
    <m/>
    <m/>
  </r>
  <r>
    <s v="T265"/>
    <m/>
    <m/>
    <m/>
    <m/>
    <m/>
    <m/>
  </r>
  <r>
    <s v="T266"/>
    <m/>
    <m/>
    <m/>
    <m/>
    <m/>
    <m/>
  </r>
  <r>
    <s v="T267"/>
    <m/>
    <m/>
    <m/>
    <m/>
    <m/>
    <m/>
  </r>
  <r>
    <s v="T268"/>
    <m/>
    <m/>
    <m/>
    <m/>
    <m/>
    <m/>
  </r>
  <r>
    <s v="T269"/>
    <m/>
    <m/>
    <m/>
    <m/>
    <m/>
    <m/>
  </r>
  <r>
    <s v="T270"/>
    <m/>
    <m/>
    <m/>
    <m/>
    <m/>
    <m/>
  </r>
  <r>
    <s v="T271"/>
    <m/>
    <m/>
    <m/>
    <m/>
    <m/>
    <m/>
  </r>
  <r>
    <s v="T272"/>
    <m/>
    <m/>
    <m/>
    <m/>
    <m/>
    <m/>
  </r>
  <r>
    <s v="T273"/>
    <m/>
    <m/>
    <m/>
    <m/>
    <m/>
    <m/>
  </r>
  <r>
    <s v="T274"/>
    <m/>
    <m/>
    <m/>
    <m/>
    <m/>
    <m/>
  </r>
  <r>
    <s v="T275"/>
    <m/>
    <m/>
    <m/>
    <m/>
    <m/>
    <m/>
  </r>
  <r>
    <s v="T276"/>
    <m/>
    <m/>
    <m/>
    <m/>
    <m/>
    <m/>
  </r>
  <r>
    <s v="T277"/>
    <m/>
    <m/>
    <m/>
    <m/>
    <m/>
    <m/>
  </r>
  <r>
    <s v="T278"/>
    <m/>
    <m/>
    <m/>
    <m/>
    <m/>
    <m/>
  </r>
  <r>
    <s v="T279"/>
    <m/>
    <m/>
    <m/>
    <m/>
    <m/>
    <m/>
  </r>
  <r>
    <s v="T280"/>
    <m/>
    <m/>
    <m/>
    <m/>
    <m/>
    <m/>
  </r>
  <r>
    <s v="T281"/>
    <m/>
    <m/>
    <m/>
    <m/>
    <m/>
    <m/>
  </r>
  <r>
    <s v="T282"/>
    <m/>
    <m/>
    <m/>
    <m/>
    <m/>
    <m/>
  </r>
  <r>
    <s v="T283"/>
    <m/>
    <m/>
    <m/>
    <m/>
    <m/>
    <m/>
  </r>
  <r>
    <s v="T284"/>
    <m/>
    <m/>
    <m/>
    <m/>
    <m/>
    <m/>
  </r>
  <r>
    <s v="T285"/>
    <m/>
    <m/>
    <m/>
    <m/>
    <m/>
    <m/>
  </r>
  <r>
    <s v="T286"/>
    <m/>
    <m/>
    <m/>
    <m/>
    <m/>
    <m/>
  </r>
  <r>
    <s v="T287"/>
    <m/>
    <m/>
    <m/>
    <m/>
    <m/>
    <m/>
  </r>
  <r>
    <s v="T288"/>
    <m/>
    <m/>
    <m/>
    <m/>
    <m/>
    <m/>
  </r>
  <r>
    <s v="T289"/>
    <m/>
    <m/>
    <m/>
    <m/>
    <m/>
    <m/>
  </r>
  <r>
    <s v="T290"/>
    <m/>
    <m/>
    <m/>
    <m/>
    <m/>
    <m/>
  </r>
  <r>
    <s v="T291"/>
    <m/>
    <m/>
    <m/>
    <m/>
    <m/>
    <m/>
  </r>
  <r>
    <s v="T292"/>
    <m/>
    <m/>
    <m/>
    <m/>
    <m/>
    <m/>
  </r>
  <r>
    <s v="T293"/>
    <m/>
    <m/>
    <m/>
    <m/>
    <m/>
    <m/>
  </r>
  <r>
    <s v="T294"/>
    <m/>
    <m/>
    <m/>
    <m/>
    <m/>
    <m/>
  </r>
  <r>
    <s v="T295"/>
    <m/>
    <m/>
    <m/>
    <m/>
    <m/>
    <m/>
  </r>
  <r>
    <s v="T296"/>
    <m/>
    <m/>
    <m/>
    <m/>
    <m/>
    <m/>
  </r>
  <r>
    <s v="T297"/>
    <m/>
    <m/>
    <m/>
    <m/>
    <m/>
    <m/>
  </r>
  <r>
    <s v="T298"/>
    <m/>
    <m/>
    <m/>
    <m/>
    <m/>
    <m/>
  </r>
  <r>
    <s v="T299"/>
    <m/>
    <m/>
    <m/>
    <m/>
    <m/>
    <m/>
  </r>
  <r>
    <s v="T300"/>
    <m/>
    <m/>
    <m/>
    <m/>
    <m/>
    <m/>
  </r>
  <r>
    <s v="T301"/>
    <m/>
    <m/>
    <m/>
    <m/>
    <m/>
    <m/>
  </r>
  <r>
    <s v="T302"/>
    <m/>
    <m/>
    <m/>
    <m/>
    <m/>
    <m/>
  </r>
  <r>
    <s v="T303"/>
    <m/>
    <m/>
    <m/>
    <m/>
    <m/>
    <m/>
  </r>
  <r>
    <s v="T304"/>
    <m/>
    <m/>
    <m/>
    <m/>
    <m/>
    <m/>
  </r>
  <r>
    <s v="T305"/>
    <m/>
    <m/>
    <m/>
    <m/>
    <m/>
    <m/>
  </r>
  <r>
    <s v="T306"/>
    <m/>
    <m/>
    <m/>
    <m/>
    <m/>
    <m/>
  </r>
  <r>
    <s v="T307"/>
    <m/>
    <m/>
    <m/>
    <m/>
    <m/>
    <m/>
  </r>
  <r>
    <s v="T308"/>
    <m/>
    <m/>
    <m/>
    <m/>
    <m/>
    <m/>
  </r>
  <r>
    <s v="T309"/>
    <m/>
    <m/>
    <m/>
    <m/>
    <m/>
    <m/>
  </r>
  <r>
    <s v="T310"/>
    <m/>
    <m/>
    <m/>
    <m/>
    <m/>
    <m/>
  </r>
  <r>
    <s v="T311"/>
    <m/>
    <m/>
    <m/>
    <m/>
    <m/>
    <m/>
  </r>
  <r>
    <s v="T312"/>
    <m/>
    <m/>
    <m/>
    <m/>
    <m/>
    <m/>
  </r>
  <r>
    <s v="T313"/>
    <m/>
    <m/>
    <m/>
    <m/>
    <m/>
    <m/>
  </r>
  <r>
    <s v="T314"/>
    <m/>
    <m/>
    <m/>
    <m/>
    <m/>
    <m/>
  </r>
  <r>
    <s v="T315"/>
    <m/>
    <m/>
    <m/>
    <m/>
    <m/>
    <m/>
  </r>
  <r>
    <s v="T316"/>
    <m/>
    <m/>
    <m/>
    <m/>
    <m/>
    <m/>
  </r>
  <r>
    <s v="T317"/>
    <m/>
    <m/>
    <m/>
    <m/>
    <m/>
    <m/>
  </r>
  <r>
    <s v="T318"/>
    <m/>
    <m/>
    <m/>
    <m/>
    <m/>
    <m/>
  </r>
  <r>
    <s v="T319"/>
    <m/>
    <m/>
    <m/>
    <m/>
    <m/>
    <m/>
  </r>
  <r>
    <s v="T320"/>
    <m/>
    <m/>
    <m/>
    <m/>
    <m/>
    <m/>
  </r>
  <r>
    <s v="T321"/>
    <m/>
    <m/>
    <m/>
    <m/>
    <m/>
    <m/>
  </r>
  <r>
    <s v="T322"/>
    <m/>
    <m/>
    <m/>
    <m/>
    <m/>
    <m/>
  </r>
  <r>
    <s v="T323"/>
    <m/>
    <m/>
    <m/>
    <m/>
    <m/>
    <m/>
  </r>
  <r>
    <s v="T324"/>
    <m/>
    <m/>
    <m/>
    <m/>
    <m/>
    <m/>
  </r>
  <r>
    <s v="T325"/>
    <m/>
    <m/>
    <m/>
    <m/>
    <m/>
    <m/>
  </r>
  <r>
    <s v="T326"/>
    <m/>
    <m/>
    <m/>
    <m/>
    <m/>
    <m/>
  </r>
  <r>
    <s v="T327"/>
    <m/>
    <m/>
    <m/>
    <m/>
    <m/>
    <m/>
  </r>
  <r>
    <s v="T328"/>
    <m/>
    <m/>
    <m/>
    <m/>
    <m/>
    <m/>
  </r>
  <r>
    <s v="T329"/>
    <m/>
    <m/>
    <m/>
    <m/>
    <m/>
    <m/>
  </r>
  <r>
    <s v="T330"/>
    <m/>
    <m/>
    <m/>
    <m/>
    <m/>
    <m/>
  </r>
  <r>
    <s v="T331"/>
    <m/>
    <m/>
    <m/>
    <m/>
    <m/>
    <m/>
  </r>
  <r>
    <s v="T332"/>
    <m/>
    <m/>
    <m/>
    <m/>
    <m/>
    <m/>
  </r>
  <r>
    <s v="T333"/>
    <m/>
    <m/>
    <m/>
    <m/>
    <m/>
    <m/>
  </r>
  <r>
    <s v="T334"/>
    <m/>
    <m/>
    <m/>
    <m/>
    <m/>
    <m/>
  </r>
  <r>
    <s v="T335"/>
    <m/>
    <m/>
    <m/>
    <m/>
    <m/>
    <m/>
  </r>
  <r>
    <s v="T336"/>
    <m/>
    <m/>
    <m/>
    <m/>
    <m/>
    <m/>
  </r>
  <r>
    <s v="T337"/>
    <m/>
    <m/>
    <m/>
    <m/>
    <m/>
    <m/>
  </r>
  <r>
    <s v="T338"/>
    <m/>
    <m/>
    <m/>
    <m/>
    <m/>
    <m/>
  </r>
  <r>
    <s v="T339"/>
    <m/>
    <m/>
    <m/>
    <m/>
    <m/>
    <m/>
  </r>
  <r>
    <s v="T340"/>
    <m/>
    <m/>
    <m/>
    <m/>
    <m/>
    <m/>
  </r>
  <r>
    <s v="T341"/>
    <m/>
    <m/>
    <m/>
    <m/>
    <m/>
    <m/>
  </r>
  <r>
    <s v="T342"/>
    <m/>
    <m/>
    <m/>
    <m/>
    <m/>
    <m/>
  </r>
  <r>
    <s v="T343"/>
    <m/>
    <m/>
    <m/>
    <m/>
    <m/>
    <m/>
  </r>
  <r>
    <s v="T344"/>
    <m/>
    <m/>
    <m/>
    <m/>
    <m/>
    <m/>
  </r>
  <r>
    <s v="T345"/>
    <m/>
    <m/>
    <m/>
    <m/>
    <m/>
    <m/>
  </r>
  <r>
    <s v="T346"/>
    <m/>
    <m/>
    <m/>
    <m/>
    <m/>
    <m/>
  </r>
  <r>
    <s v="T347"/>
    <m/>
    <m/>
    <m/>
    <m/>
    <m/>
    <m/>
  </r>
  <r>
    <s v="T348"/>
    <m/>
    <m/>
    <m/>
    <m/>
    <m/>
    <m/>
  </r>
  <r>
    <s v="T349"/>
    <m/>
    <m/>
    <m/>
    <m/>
    <m/>
    <m/>
  </r>
  <r>
    <s v="T350"/>
    <m/>
    <m/>
    <m/>
    <m/>
    <m/>
    <m/>
  </r>
  <r>
    <s v="T351"/>
    <m/>
    <m/>
    <m/>
    <m/>
    <m/>
    <m/>
  </r>
  <r>
    <s v="T352"/>
    <m/>
    <m/>
    <m/>
    <m/>
    <m/>
    <m/>
  </r>
  <r>
    <s v="T353"/>
    <m/>
    <m/>
    <m/>
    <m/>
    <m/>
    <m/>
  </r>
  <r>
    <s v="T354"/>
    <m/>
    <m/>
    <m/>
    <m/>
    <m/>
    <m/>
  </r>
  <r>
    <s v="T355"/>
    <m/>
    <m/>
    <m/>
    <m/>
    <m/>
    <m/>
  </r>
  <r>
    <s v="T356"/>
    <m/>
    <m/>
    <m/>
    <m/>
    <m/>
    <m/>
  </r>
  <r>
    <s v="T357"/>
    <m/>
    <m/>
    <m/>
    <m/>
    <m/>
    <m/>
  </r>
  <r>
    <s v="T358"/>
    <m/>
    <m/>
    <m/>
    <m/>
    <m/>
    <m/>
  </r>
  <r>
    <s v="T359"/>
    <m/>
    <m/>
    <m/>
    <m/>
    <m/>
    <m/>
  </r>
  <r>
    <s v="T360"/>
    <m/>
    <m/>
    <m/>
    <m/>
    <m/>
    <m/>
  </r>
  <r>
    <s v="T361"/>
    <m/>
    <m/>
    <m/>
    <m/>
    <m/>
    <m/>
  </r>
  <r>
    <s v="T362"/>
    <m/>
    <m/>
    <m/>
    <m/>
    <m/>
    <m/>
  </r>
  <r>
    <s v="T363"/>
    <m/>
    <m/>
    <m/>
    <m/>
    <m/>
    <m/>
  </r>
  <r>
    <s v="T364"/>
    <m/>
    <m/>
    <m/>
    <m/>
    <m/>
    <m/>
  </r>
  <r>
    <s v="T365"/>
    <m/>
    <m/>
    <m/>
    <m/>
    <m/>
    <m/>
  </r>
  <r>
    <s v="T366"/>
    <m/>
    <m/>
    <m/>
    <m/>
    <m/>
    <m/>
  </r>
  <r>
    <s v="T367"/>
    <m/>
    <m/>
    <m/>
    <m/>
    <m/>
    <m/>
  </r>
  <r>
    <s v="T368"/>
    <m/>
    <m/>
    <m/>
    <m/>
    <m/>
    <m/>
  </r>
  <r>
    <s v="T369"/>
    <m/>
    <m/>
    <m/>
    <m/>
    <m/>
    <m/>
  </r>
  <r>
    <s v="T370"/>
    <m/>
    <m/>
    <m/>
    <m/>
    <m/>
    <m/>
  </r>
  <r>
    <s v="T371"/>
    <m/>
    <m/>
    <m/>
    <m/>
    <m/>
    <m/>
  </r>
  <r>
    <s v="T372"/>
    <m/>
    <m/>
    <m/>
    <m/>
    <m/>
    <m/>
  </r>
  <r>
    <s v="T373"/>
    <m/>
    <m/>
    <m/>
    <m/>
    <m/>
    <m/>
  </r>
  <r>
    <s v="T374"/>
    <m/>
    <m/>
    <m/>
    <m/>
    <m/>
    <m/>
  </r>
  <r>
    <s v="T375"/>
    <m/>
    <m/>
    <m/>
    <m/>
    <m/>
    <m/>
  </r>
  <r>
    <s v="T376"/>
    <m/>
    <m/>
    <m/>
    <m/>
    <m/>
    <m/>
  </r>
  <r>
    <s v="T377"/>
    <m/>
    <m/>
    <m/>
    <m/>
    <m/>
    <m/>
  </r>
  <r>
    <s v="T378"/>
    <m/>
    <m/>
    <m/>
    <m/>
    <m/>
    <m/>
  </r>
  <r>
    <s v="T379"/>
    <m/>
    <m/>
    <m/>
    <m/>
    <m/>
    <m/>
  </r>
  <r>
    <s v="T380"/>
    <m/>
    <m/>
    <m/>
    <m/>
    <m/>
    <m/>
  </r>
  <r>
    <s v="T381"/>
    <m/>
    <m/>
    <m/>
    <m/>
    <m/>
    <m/>
  </r>
  <r>
    <s v="T382"/>
    <m/>
    <m/>
    <m/>
    <m/>
    <m/>
    <m/>
  </r>
  <r>
    <s v="T383"/>
    <m/>
    <m/>
    <m/>
    <m/>
    <m/>
    <m/>
  </r>
  <r>
    <s v="T384"/>
    <m/>
    <m/>
    <m/>
    <m/>
    <m/>
    <m/>
  </r>
  <r>
    <s v="T385"/>
    <m/>
    <m/>
    <m/>
    <m/>
    <m/>
    <m/>
  </r>
  <r>
    <s v="T386"/>
    <m/>
    <m/>
    <m/>
    <m/>
    <m/>
    <m/>
  </r>
  <r>
    <s v="T387"/>
    <m/>
    <m/>
    <m/>
    <m/>
    <m/>
    <m/>
  </r>
  <r>
    <s v="T388"/>
    <m/>
    <m/>
    <m/>
    <m/>
    <m/>
    <m/>
  </r>
  <r>
    <s v="T389"/>
    <m/>
    <m/>
    <m/>
    <m/>
    <m/>
    <m/>
  </r>
  <r>
    <s v="T390"/>
    <m/>
    <m/>
    <m/>
    <m/>
    <m/>
    <m/>
  </r>
  <r>
    <s v="T391"/>
    <m/>
    <m/>
    <m/>
    <m/>
    <m/>
    <m/>
  </r>
  <r>
    <s v="T392"/>
    <m/>
    <m/>
    <m/>
    <m/>
    <m/>
    <m/>
  </r>
  <r>
    <s v="T393"/>
    <m/>
    <m/>
    <m/>
    <m/>
    <m/>
    <m/>
  </r>
  <r>
    <s v="T394"/>
    <m/>
    <m/>
    <m/>
    <m/>
    <m/>
    <m/>
  </r>
  <r>
    <s v="T395"/>
    <m/>
    <m/>
    <m/>
    <m/>
    <m/>
    <m/>
  </r>
  <r>
    <s v="T396"/>
    <m/>
    <m/>
    <m/>
    <m/>
    <m/>
    <m/>
  </r>
  <r>
    <s v="T397"/>
    <m/>
    <m/>
    <m/>
    <m/>
    <m/>
    <m/>
  </r>
  <r>
    <s v="T398"/>
    <m/>
    <m/>
    <m/>
    <m/>
    <m/>
    <m/>
  </r>
  <r>
    <s v="T399"/>
    <m/>
    <m/>
    <m/>
    <m/>
    <m/>
    <m/>
  </r>
  <r>
    <s v="T400"/>
    <m/>
    <m/>
    <m/>
    <m/>
    <m/>
    <m/>
  </r>
  <r>
    <s v="T401"/>
    <m/>
    <m/>
    <m/>
    <m/>
    <m/>
    <m/>
  </r>
  <r>
    <s v="T402"/>
    <m/>
    <m/>
    <m/>
    <m/>
    <m/>
    <m/>
  </r>
  <r>
    <s v="T403"/>
    <m/>
    <m/>
    <m/>
    <m/>
    <m/>
    <m/>
  </r>
  <r>
    <s v="T404"/>
    <m/>
    <m/>
    <m/>
    <m/>
    <m/>
    <m/>
  </r>
  <r>
    <s v="T405"/>
    <m/>
    <m/>
    <m/>
    <m/>
    <m/>
    <m/>
  </r>
  <r>
    <s v="T406"/>
    <m/>
    <m/>
    <m/>
    <m/>
    <m/>
    <m/>
  </r>
  <r>
    <s v="T407"/>
    <m/>
    <m/>
    <m/>
    <m/>
    <m/>
    <m/>
  </r>
  <r>
    <s v="T408"/>
    <m/>
    <m/>
    <m/>
    <m/>
    <m/>
    <m/>
  </r>
  <r>
    <s v="T409"/>
    <m/>
    <m/>
    <m/>
    <m/>
    <m/>
    <m/>
  </r>
  <r>
    <s v="T410"/>
    <m/>
    <m/>
    <m/>
    <m/>
    <m/>
    <m/>
  </r>
  <r>
    <s v="T411"/>
    <m/>
    <m/>
    <m/>
    <m/>
    <m/>
    <m/>
  </r>
  <r>
    <s v="T412"/>
    <m/>
    <m/>
    <m/>
    <m/>
    <m/>
    <m/>
  </r>
  <r>
    <s v="T413"/>
    <m/>
    <m/>
    <m/>
    <m/>
    <m/>
    <m/>
  </r>
  <r>
    <s v="T414"/>
    <m/>
    <m/>
    <m/>
    <m/>
    <m/>
    <m/>
  </r>
  <r>
    <s v="T415"/>
    <m/>
    <m/>
    <m/>
    <m/>
    <m/>
    <m/>
  </r>
  <r>
    <s v="T416"/>
    <m/>
    <m/>
    <m/>
    <m/>
    <m/>
    <m/>
  </r>
  <r>
    <s v="T417"/>
    <m/>
    <m/>
    <m/>
    <m/>
    <m/>
    <m/>
  </r>
  <r>
    <s v="T418"/>
    <m/>
    <m/>
    <m/>
    <m/>
    <m/>
    <m/>
  </r>
  <r>
    <s v="T419"/>
    <m/>
    <m/>
    <m/>
    <m/>
    <m/>
    <m/>
  </r>
  <r>
    <s v="T420"/>
    <m/>
    <m/>
    <m/>
    <m/>
    <m/>
    <m/>
  </r>
  <r>
    <s v="T421"/>
    <m/>
    <m/>
    <m/>
    <m/>
    <m/>
    <m/>
  </r>
  <r>
    <s v="T422"/>
    <m/>
    <m/>
    <m/>
    <m/>
    <m/>
    <m/>
  </r>
  <r>
    <s v="T423"/>
    <m/>
    <m/>
    <m/>
    <m/>
    <m/>
    <m/>
  </r>
  <r>
    <s v="T424"/>
    <m/>
    <m/>
    <m/>
    <m/>
    <m/>
    <m/>
  </r>
  <r>
    <s v="T425"/>
    <m/>
    <m/>
    <m/>
    <m/>
    <m/>
    <m/>
  </r>
  <r>
    <s v="T426"/>
    <m/>
    <m/>
    <m/>
    <m/>
    <m/>
    <m/>
  </r>
  <r>
    <s v="T427"/>
    <m/>
    <m/>
    <m/>
    <m/>
    <m/>
    <m/>
  </r>
  <r>
    <s v="T428"/>
    <m/>
    <m/>
    <m/>
    <m/>
    <m/>
    <m/>
  </r>
  <r>
    <s v="T429"/>
    <m/>
    <m/>
    <m/>
    <m/>
    <m/>
    <m/>
  </r>
  <r>
    <s v="T430"/>
    <m/>
    <m/>
    <m/>
    <m/>
    <m/>
    <m/>
  </r>
  <r>
    <s v="T431"/>
    <m/>
    <m/>
    <m/>
    <m/>
    <m/>
    <m/>
  </r>
  <r>
    <s v="T432"/>
    <m/>
    <m/>
    <m/>
    <m/>
    <m/>
    <m/>
  </r>
  <r>
    <s v="T433"/>
    <m/>
    <m/>
    <m/>
    <m/>
    <m/>
    <m/>
  </r>
  <r>
    <s v="T434"/>
    <m/>
    <m/>
    <m/>
    <m/>
    <m/>
    <m/>
  </r>
  <r>
    <s v="T435"/>
    <m/>
    <m/>
    <m/>
    <m/>
    <m/>
    <m/>
  </r>
  <r>
    <s v="T436"/>
    <m/>
    <m/>
    <m/>
    <m/>
    <m/>
    <m/>
  </r>
  <r>
    <s v="T437"/>
    <m/>
    <m/>
    <m/>
    <m/>
    <m/>
    <m/>
  </r>
  <r>
    <s v="T438"/>
    <m/>
    <m/>
    <m/>
    <m/>
    <m/>
    <m/>
  </r>
  <r>
    <s v="T439"/>
    <m/>
    <m/>
    <m/>
    <m/>
    <m/>
    <m/>
  </r>
  <r>
    <s v="T440"/>
    <m/>
    <m/>
    <m/>
    <m/>
    <m/>
    <m/>
  </r>
  <r>
    <s v="T441"/>
    <m/>
    <m/>
    <m/>
    <m/>
    <m/>
    <m/>
  </r>
  <r>
    <s v="T442"/>
    <m/>
    <m/>
    <m/>
    <m/>
    <m/>
    <m/>
  </r>
  <r>
    <s v="T443"/>
    <m/>
    <m/>
    <m/>
    <m/>
    <m/>
    <m/>
  </r>
  <r>
    <s v="T444"/>
    <m/>
    <m/>
    <m/>
    <m/>
    <m/>
    <m/>
  </r>
  <r>
    <s v="T445"/>
    <m/>
    <m/>
    <m/>
    <m/>
    <m/>
    <m/>
  </r>
  <r>
    <s v="T446"/>
    <m/>
    <m/>
    <m/>
    <m/>
    <m/>
    <m/>
  </r>
  <r>
    <s v="T447"/>
    <m/>
    <m/>
    <m/>
    <m/>
    <m/>
    <m/>
  </r>
  <r>
    <s v="T448"/>
    <m/>
    <m/>
    <m/>
    <m/>
    <m/>
    <m/>
  </r>
  <r>
    <s v="T449"/>
    <m/>
    <m/>
    <m/>
    <m/>
    <m/>
    <m/>
  </r>
  <r>
    <s v="T450"/>
    <m/>
    <m/>
    <m/>
    <m/>
    <m/>
    <m/>
  </r>
  <r>
    <s v="T451"/>
    <m/>
    <m/>
    <m/>
    <m/>
    <m/>
    <m/>
  </r>
  <r>
    <s v="T452"/>
    <m/>
    <m/>
    <m/>
    <m/>
    <m/>
    <m/>
  </r>
  <r>
    <s v="T453"/>
    <m/>
    <m/>
    <m/>
    <m/>
    <m/>
    <m/>
  </r>
  <r>
    <s v="T454"/>
    <m/>
    <m/>
    <m/>
    <m/>
    <m/>
    <m/>
  </r>
  <r>
    <s v="T455"/>
    <m/>
    <m/>
    <m/>
    <m/>
    <m/>
    <m/>
  </r>
  <r>
    <s v="T456"/>
    <m/>
    <m/>
    <m/>
    <m/>
    <m/>
    <m/>
  </r>
  <r>
    <s v="T457"/>
    <m/>
    <m/>
    <m/>
    <m/>
    <m/>
    <m/>
  </r>
  <r>
    <s v="T458"/>
    <m/>
    <m/>
    <m/>
    <m/>
    <m/>
    <m/>
  </r>
  <r>
    <s v="T459"/>
    <m/>
    <m/>
    <m/>
    <m/>
    <m/>
    <m/>
  </r>
  <r>
    <s v="T460"/>
    <m/>
    <m/>
    <m/>
    <m/>
    <m/>
    <m/>
  </r>
  <r>
    <s v="T461"/>
    <m/>
    <m/>
    <m/>
    <m/>
    <m/>
    <m/>
  </r>
  <r>
    <s v="T462"/>
    <m/>
    <m/>
    <m/>
    <m/>
    <m/>
    <m/>
  </r>
  <r>
    <s v="T463"/>
    <m/>
    <m/>
    <m/>
    <m/>
    <m/>
    <m/>
  </r>
  <r>
    <s v="T464"/>
    <m/>
    <m/>
    <m/>
    <m/>
    <m/>
    <m/>
  </r>
  <r>
    <s v="T465"/>
    <m/>
    <m/>
    <m/>
    <m/>
    <m/>
    <m/>
  </r>
  <r>
    <s v="T466"/>
    <m/>
    <m/>
    <m/>
    <m/>
    <m/>
    <m/>
  </r>
  <r>
    <s v="T467"/>
    <m/>
    <m/>
    <m/>
    <m/>
    <m/>
    <m/>
  </r>
  <r>
    <s v="T468"/>
    <m/>
    <m/>
    <m/>
    <m/>
    <m/>
    <m/>
  </r>
  <r>
    <s v="T469"/>
    <m/>
    <m/>
    <m/>
    <m/>
    <m/>
    <m/>
  </r>
  <r>
    <s v="T470"/>
    <m/>
    <m/>
    <m/>
    <m/>
    <m/>
    <m/>
  </r>
  <r>
    <s v="T471"/>
    <m/>
    <m/>
    <m/>
    <m/>
    <m/>
    <m/>
  </r>
  <r>
    <s v="T472"/>
    <m/>
    <m/>
    <m/>
    <m/>
    <m/>
    <m/>
  </r>
  <r>
    <s v="T473"/>
    <m/>
    <m/>
    <m/>
    <m/>
    <m/>
    <m/>
  </r>
  <r>
    <s v="T474"/>
    <m/>
    <m/>
    <m/>
    <m/>
    <m/>
    <m/>
  </r>
  <r>
    <s v="T475"/>
    <m/>
    <m/>
    <m/>
    <m/>
    <m/>
    <m/>
  </r>
  <r>
    <s v="T476"/>
    <m/>
    <m/>
    <m/>
    <m/>
    <m/>
    <m/>
  </r>
  <r>
    <s v="T477"/>
    <m/>
    <m/>
    <m/>
    <m/>
    <m/>
    <m/>
  </r>
  <r>
    <s v="T478"/>
    <m/>
    <m/>
    <m/>
    <m/>
    <m/>
    <m/>
  </r>
  <r>
    <s v="T479"/>
    <m/>
    <m/>
    <m/>
    <m/>
    <m/>
    <m/>
  </r>
  <r>
    <s v="T480"/>
    <m/>
    <m/>
    <m/>
    <m/>
    <m/>
    <m/>
  </r>
  <r>
    <s v="T481"/>
    <m/>
    <m/>
    <m/>
    <m/>
    <m/>
    <m/>
  </r>
  <r>
    <s v="T482"/>
    <m/>
    <m/>
    <m/>
    <m/>
    <m/>
    <m/>
  </r>
  <r>
    <s v="T483"/>
    <m/>
    <m/>
    <m/>
    <m/>
    <m/>
    <m/>
  </r>
  <r>
    <s v="T484"/>
    <m/>
    <m/>
    <m/>
    <m/>
    <m/>
    <m/>
  </r>
  <r>
    <s v="T485"/>
    <m/>
    <m/>
    <m/>
    <m/>
    <m/>
    <m/>
  </r>
  <r>
    <s v="T486"/>
    <m/>
    <m/>
    <m/>
    <m/>
    <m/>
    <m/>
  </r>
  <r>
    <s v="T487"/>
    <m/>
    <m/>
    <m/>
    <m/>
    <m/>
    <m/>
  </r>
  <r>
    <s v="T488"/>
    <m/>
    <m/>
    <m/>
    <m/>
    <m/>
    <m/>
  </r>
  <r>
    <s v="T489"/>
    <m/>
    <m/>
    <m/>
    <m/>
    <m/>
    <m/>
  </r>
  <r>
    <s v="T490"/>
    <m/>
    <m/>
    <m/>
    <m/>
    <m/>
    <m/>
  </r>
  <r>
    <s v="T491"/>
    <m/>
    <m/>
    <m/>
    <m/>
    <m/>
    <m/>
  </r>
  <r>
    <s v="T492"/>
    <m/>
    <m/>
    <m/>
    <m/>
    <m/>
    <m/>
  </r>
  <r>
    <s v="T493"/>
    <m/>
    <m/>
    <m/>
    <m/>
    <m/>
    <m/>
  </r>
  <r>
    <s v="T494"/>
    <m/>
    <m/>
    <m/>
    <m/>
    <m/>
    <m/>
  </r>
  <r>
    <s v="T495"/>
    <m/>
    <m/>
    <m/>
    <m/>
    <m/>
    <m/>
  </r>
  <r>
    <s v="T496"/>
    <m/>
    <m/>
    <m/>
    <m/>
    <m/>
    <m/>
  </r>
  <r>
    <s v="T497"/>
    <m/>
    <m/>
    <m/>
    <m/>
    <m/>
    <m/>
  </r>
  <r>
    <s v="T498"/>
    <m/>
    <m/>
    <m/>
    <m/>
    <m/>
    <m/>
  </r>
  <r>
    <s v="T499"/>
    <m/>
    <m/>
    <m/>
    <m/>
    <m/>
    <m/>
  </r>
  <r>
    <s v="T500"/>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s v="ProductID"/>
    <s v="ProductName"/>
    <s v="Location"/>
    <s v="UnitCost"/>
    <s v="ReorderLevel"/>
    <s v="QuantityOnHand (auto)"/>
    <s v="StockValue (auto)"/>
    <s v="ReorderFlag (auto)"/>
  </r>
  <r>
    <m/>
    <s v=""/>
    <m/>
    <s v=""/>
    <s v=""/>
    <s v=""/>
    <s v=""/>
    <s v=""/>
  </r>
  <r>
    <m/>
    <s v=""/>
    <m/>
    <s v=""/>
    <s v=""/>
    <s v=""/>
    <s v=""/>
    <s v=""/>
  </r>
  <r>
    <m/>
    <s v=""/>
    <m/>
    <s v=""/>
    <s v=""/>
    <s v=""/>
    <s v=""/>
    <s v=""/>
  </r>
  <r>
    <m/>
    <s v=""/>
    <m/>
    <s v=""/>
    <s v=""/>
    <s v=""/>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DC405AF-08E9-497E-B33C-ADD48E1D1A3F}" name="PivotTable4"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5:C42" firstHeaderRow="1" firstDataRow="1" firstDataCol="0"/>
  <pivotFields count="7">
    <pivotField showAll="0"/>
    <pivotField showAll="0"/>
    <pivotField showAll="0"/>
    <pivotField showAll="0"/>
    <pivotField showAll="0"/>
    <pivotField showAll="0"/>
    <pivotField showAll="0"/>
  </pivotFields>
  <formats count="1">
    <format dxfId="61">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5CE5C57-8652-41F4-BA71-07AFFA818514}" name="PivotTable3" cacheId="1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C23" firstHeaderRow="1" firstDataRow="1" firstDataCol="0"/>
  <pivotFields count="8">
    <pivotField showAll="0"/>
    <pivotField showAll="0"/>
    <pivotField showAll="0"/>
    <pivotField numFmtId="164" showAll="0"/>
    <pivotField numFmtId="3" showAll="0"/>
    <pivotField numFmtId="3" showAll="0"/>
    <pivotField numFmtId="3" showAll="0"/>
    <pivotField showAll="0"/>
  </pivotFields>
  <formats count="1">
    <format dxfId="62">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36D0B21-906B-4A9A-ACE7-FBA9D2523521}" name="ptFastMovers"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T1:U3" firstHeaderRow="1" firstDataRow="1" firstDataCol="1"/>
  <pivotFields count="9">
    <pivotField showAll="0"/>
    <pivotField showAll="0"/>
    <pivotField showAll="0"/>
    <pivotField dataField="1" showAll="0"/>
    <pivotField showAll="0"/>
    <pivotField axis="axisRow" showAll="0">
      <items count="7">
        <item x="0"/>
        <item m="1" x="2"/>
        <item m="1" x="5"/>
        <item m="1" x="4"/>
        <item m="1" x="3"/>
        <item m="1" x="1"/>
        <item t="default"/>
      </items>
    </pivotField>
    <pivotField showAll="0"/>
    <pivotField showAll="0"/>
    <pivotField showAll="0"/>
  </pivotFields>
  <rowFields count="1">
    <field x="5"/>
  </rowFields>
  <rowItems count="2">
    <i>
      <x/>
    </i>
    <i t="grand">
      <x/>
    </i>
  </rowItems>
  <colItems count="1">
    <i/>
  </colItems>
  <dataFields count="1">
    <dataField name="Sum of Quantity" fld="3" baseField="0" baseItem="0"/>
  </dataFields>
  <formats count="6">
    <format dxfId="42">
      <pivotArea type="all" dataOnly="0" outline="0" fieldPosition="0"/>
    </format>
    <format dxfId="41">
      <pivotArea outline="0" collapsedLevelsAreSubtotals="1" fieldPosition="0"/>
    </format>
    <format dxfId="40">
      <pivotArea field="5" type="button" dataOnly="0" labelOnly="1" outline="0" axis="axisRow" fieldPosition="0"/>
    </format>
    <format dxfId="39">
      <pivotArea dataOnly="0" labelOnly="1" fieldPosition="0">
        <references count="1">
          <reference field="5" count="0"/>
        </references>
      </pivotArea>
    </format>
    <format dxfId="38">
      <pivotArea dataOnly="0" labelOnly="1" grandRow="1" outline="0" fieldPosition="0"/>
    </format>
    <format dxfId="3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712BA9D-42BD-486A-9E62-F8BD3D019ED2}" name="ptMonthlyMovement"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Q1:R3" firstHeaderRow="1" firstDataRow="1" firstDataCol="1"/>
  <pivotFields count="9">
    <pivotField axis="axisRow" showAll="0">
      <items count="3">
        <item m="1" x="1"/>
        <item x="0"/>
        <item t="default"/>
      </items>
    </pivotField>
    <pivotField showAll="0"/>
    <pivotField showAll="0"/>
    <pivotField dataField="1" showAll="0"/>
    <pivotField showAll="0"/>
    <pivotField showAll="0"/>
    <pivotField showAll="0"/>
    <pivotField showAll="0"/>
    <pivotField showAll="0"/>
  </pivotFields>
  <rowFields count="1">
    <field x="0"/>
  </rowFields>
  <rowItems count="2">
    <i>
      <x v="1"/>
    </i>
    <i t="grand">
      <x/>
    </i>
  </rowItems>
  <colItems count="1">
    <i/>
  </colItems>
  <dataFields count="1">
    <dataField name="Sum of Quantity" fld="3" baseField="0" baseItem="0"/>
  </dataFields>
  <formats count="6">
    <format dxfId="48">
      <pivotArea type="all" dataOnly="0" outline="0" fieldPosition="0"/>
    </format>
    <format dxfId="47">
      <pivotArea outline="0" collapsedLevelsAreSubtotals="1" fieldPosition="0"/>
    </format>
    <format dxfId="46">
      <pivotArea field="0" type="button" dataOnly="0" labelOnly="1" outline="0" axis="axisRow" fieldPosition="0"/>
    </format>
    <format dxfId="45">
      <pivotArea dataOnly="0" labelOnly="1" fieldPosition="0">
        <references count="1">
          <reference field="0" count="0"/>
        </references>
      </pivotArea>
    </format>
    <format dxfId="44">
      <pivotArea dataOnly="0" labelOnly="1" grandRow="1" outline="0" fieldPosition="0"/>
    </format>
    <format dxfId="43">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3B925B0-740A-4D87-9005-15E2458FE146}" name="ptStockValueBySupplier"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N1:O3" firstHeaderRow="1" firstDataRow="1" firstDataCol="1"/>
  <pivotFields count="9">
    <pivotField showAll="0"/>
    <pivotField showAll="0"/>
    <pivotField showAll="0"/>
    <pivotField showAll="0"/>
    <pivotField showAll="0"/>
    <pivotField showAll="0"/>
    <pivotField showAll="0"/>
    <pivotField axis="axisRow" showAll="0">
      <items count="7">
        <item x="0"/>
        <item m="1" x="1"/>
        <item m="1" x="3"/>
        <item m="1" x="5"/>
        <item m="1" x="4"/>
        <item m="1" x="2"/>
        <item t="default"/>
      </items>
    </pivotField>
    <pivotField dataField="1" showAll="0"/>
  </pivotFields>
  <rowFields count="1">
    <field x="7"/>
  </rowFields>
  <rowItems count="2">
    <i>
      <x/>
    </i>
    <i t="grand">
      <x/>
    </i>
  </rowItems>
  <colItems count="1">
    <i/>
  </colItems>
  <dataFields count="1">
    <dataField name="Sum of StockValue" fld="8" baseField="0" baseItem="0"/>
  </dataFields>
  <formats count="6">
    <format dxfId="54">
      <pivotArea type="all" dataOnly="0" outline="0" fieldPosition="0"/>
    </format>
    <format dxfId="53">
      <pivotArea outline="0" collapsedLevelsAreSubtotals="1" fieldPosition="0"/>
    </format>
    <format dxfId="52">
      <pivotArea field="7" type="button" dataOnly="0" labelOnly="1" outline="0" axis="axisRow" fieldPosition="0"/>
    </format>
    <format dxfId="51">
      <pivotArea dataOnly="0" labelOnly="1" fieldPosition="0">
        <references count="1">
          <reference field="7" count="0"/>
        </references>
      </pivotArea>
    </format>
    <format dxfId="50">
      <pivotArea dataOnly="0" labelOnly="1" grandRow="1" outline="0" fieldPosition="0"/>
    </format>
    <format dxfId="4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6EE969B-3536-451B-AED7-943BD04E86E5}" name="ptStockByCategory"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K1:L3" firstHeaderRow="1" firstDataRow="1" firstDataCol="1"/>
  <pivotFields count="9">
    <pivotField showAll="0"/>
    <pivotField showAll="0"/>
    <pivotField showAll="0"/>
    <pivotField dataField="1" showAll="0"/>
    <pivotField showAll="0"/>
    <pivotField showAll="0"/>
    <pivotField axis="axisRow" showAll="0">
      <items count="7">
        <item x="0"/>
        <item m="1" x="1"/>
        <item m="1" x="2"/>
        <item m="1" x="3"/>
        <item m="1" x="4"/>
        <item m="1" x="5"/>
        <item t="default"/>
      </items>
    </pivotField>
    <pivotField showAll="0"/>
    <pivotField showAll="0"/>
  </pivotFields>
  <rowFields count="1">
    <field x="6"/>
  </rowFields>
  <rowItems count="2">
    <i>
      <x/>
    </i>
    <i t="grand">
      <x/>
    </i>
  </rowItems>
  <colItems count="1">
    <i/>
  </colItems>
  <dataFields count="1">
    <dataField name="Sum of Quantity" fld="3" baseField="0" baseItem="0"/>
  </dataFields>
  <formats count="6">
    <format dxfId="60">
      <pivotArea type="all" dataOnly="0" outline="0" fieldPosition="0"/>
    </format>
    <format dxfId="59">
      <pivotArea outline="0" collapsedLevelsAreSubtotals="1" fieldPosition="0"/>
    </format>
    <format dxfId="58">
      <pivotArea field="6" type="button" dataOnly="0" labelOnly="1" outline="0" axis="axisRow" fieldPosition="0"/>
    </format>
    <format dxfId="57">
      <pivotArea dataOnly="0" labelOnly="1" fieldPosition="0">
        <references count="1">
          <reference field="6" count="0"/>
        </references>
      </pivotArea>
    </format>
    <format dxfId="56">
      <pivotArea dataOnly="0" labelOnly="1" grandRow="1" outline="0" fieldPosition="0"/>
    </format>
    <format dxfId="5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C7D6D26B-0E6A-404A-A618-E8C53F07B885}" sourceName="Category">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pplier" xr10:uid="{8481CC20-7067-43A0-9A07-ACE25E18DBF8}" sourceName="Supplier">
  <extLst>
    <x:ext xmlns:x15="http://schemas.microsoft.com/office/spreadsheetml/2010/11/main" uri="{2F2917AC-EB37-4324-AD4E-5DD8C200BD13}">
      <x15:tableSlicerCache tableId="1" column="8"/>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tion" xr10:uid="{50D5BA68-A4F8-4BB8-957F-B7AFEA361C19}" sourceName="Location">
  <extLst>
    <x:ext xmlns:x15="http://schemas.microsoft.com/office/spreadsheetml/2010/11/main" uri="{2F2917AC-EB37-4324-AD4E-5DD8C200BD13}">
      <x15:tableSlicerCache tableId="1" column="3"/>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 xr10:uid="{4F974ED3-37B2-475F-B644-CFB2746BC027}" sourceName="Date">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lCategory" xr10:uid="{A15D0EB2-9B95-4FD4-B438-F684D317ACC4}" cache="Slicer_Category" caption="Category" style="HS_Style" rowHeight="273050"/>
  <slicer name="slSupplier" xr10:uid="{A9B88812-6484-4AC2-8EBA-A565F9B99E3E}" cache="Slicer_Supplier" caption="Supplier" style="HS_Style" rowHeight="273050"/>
  <slicer name="slLocation" xr10:uid="{165775E2-4B29-4031-82C0-659BB62C707A}" cache="Slicer_Location" caption="Location" style="HS_Style" rowHeight="273050"/>
  <slicer name="slDate" xr10:uid="{72209C4E-AAFF-4F6D-925A-02D0553A16A6}" cache="Slicer_Date" caption="Date" style="HS_Style" rowHeight="2730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24B930-098A-4DA3-95A3-686F63679F08}" name="tblProducts" displayName="tblProducts" ref="A1:G7" totalsRowShown="0" headerRowDxfId="100" dataDxfId="99">
  <autoFilter ref="A1:G7" xr:uid="{CB24B930-098A-4DA3-95A3-686F63679F08}"/>
  <tableColumns count="7">
    <tableColumn id="1" xr3:uid="{7250DA0D-7DCA-4C3F-81F0-F1BDD233F6AF}" name="ProductID" dataDxfId="98"/>
    <tableColumn id="2" xr3:uid="{B255B31F-4AFB-42D0-AFFA-3D81BBF13168}" name="ProductName" dataDxfId="97"/>
    <tableColumn id="3" xr3:uid="{B8A82320-8AB1-43E9-9574-EF7F286D2F6A}" name="Category" dataDxfId="96"/>
    <tableColumn id="4" xr3:uid="{36290669-8289-4845-9C47-65D3E3F6D92D}" name="UnitCost" dataDxfId="95"/>
    <tableColumn id="5" xr3:uid="{0208BE9E-5574-4040-A4E4-4460F1FF79B3}" name="Supplier" dataDxfId="94"/>
    <tableColumn id="6" xr3:uid="{05C739E2-7DAA-4CCF-A673-D84C011D0A65}" name="ReorderLevel" dataDxfId="93"/>
    <tableColumn id="7" xr3:uid="{40318DA6-6E41-4289-A91E-5CE2897EC054}" name="Active" dataDxfId="92"/>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434FFE8-525D-429F-80D3-82BED18D08BA}" name="tblTrans" displayName="tblTrans" ref="A1:G501" totalsRowShown="0" headerRowDxfId="91" dataDxfId="90">
  <autoFilter ref="A1:G501" xr:uid="{6434FFE8-525D-429F-80D3-82BED18D08BA}"/>
  <tableColumns count="7">
    <tableColumn id="1" xr3:uid="{AFECEA40-0577-4372-9F3A-6FE26C094BC7}" name="TransID" dataDxfId="89">
      <calculatedColumnFormula>"T"&amp;TEXT(ROW()-1,"000")</calculatedColumnFormula>
    </tableColumn>
    <tableColumn id="2" xr3:uid="{7CBDFE46-655D-4E57-ABA8-AFB30579B640}" name="Date" dataDxfId="88"/>
    <tableColumn id="3" xr3:uid="{68D0BDBA-7C7E-4927-961D-224CF9E3D5F0}" name="ProductID" dataDxfId="87"/>
    <tableColumn id="4" xr3:uid="{B9F57CA5-1E12-4D35-B470-14033F3FE442}" name="Location" dataDxfId="86"/>
    <tableColumn id="5" xr3:uid="{6514C0D3-7C5F-414E-97E6-7FA1F6577FD5}" name="Quantity" dataDxfId="85"/>
    <tableColumn id="6" xr3:uid="{631AC714-E924-4723-AA8F-A009436B7DED}" name="Type" dataDxfId="84"/>
    <tableColumn id="7" xr3:uid="{3B1A9184-D6EA-4F1F-B236-CFD850F62D90}" name="Notes" dataDxfId="83"/>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2A9552C-A1E0-4ABB-A75B-875A48345CF5}" name="tblInventory" displayName="tblInventory" ref="A1:H6" totalsRowShown="0" headerRowDxfId="82" dataDxfId="81">
  <autoFilter ref="A1:H6" xr:uid="{22A9552C-A1E0-4ABB-A75B-875A48345CF5}"/>
  <tableColumns count="8">
    <tableColumn id="1" xr3:uid="{1E5C20A5-FC01-4AC8-852E-26BFF15EEB27}" name="ProductID" dataDxfId="80"/>
    <tableColumn id="2" xr3:uid="{D6013E96-A056-4AAD-8675-B490C5B70BAA}" name="ProductName" dataDxfId="79">
      <calculatedColumnFormula>IF(tblInventory[[#This Row],[ProductID]]="","",IF(ISNUMBER(SEARCH("ProductID",tblInventory[[#This Row],[ProductID]])),"ProductName",IFERROR(_xlfn.XLOOKUP(tblInventory[[#This Row],[ProductID]],tblProducts[ProductID],tblProducts[ProductName],""),"")))</calculatedColumnFormula>
    </tableColumn>
    <tableColumn id="3" xr3:uid="{9BAFD15E-59C8-4984-9C1C-86FFDFCC1144}" name="Location" dataDxfId="78"/>
    <tableColumn id="4" xr3:uid="{563DA5D0-60E9-4A37-85E8-EF17CB951C98}" name="UnitCost" dataDxfId="77">
      <calculatedColumnFormula>IF(tblInventory[[#This Row],[ProductID]]="","",IF(ISNUMBER(SEARCH("ProductID",tblInventory[[#This Row],[ProductID]])),"UnitCost",IFERROR(_xlfn.XLOOKUP(tblInventory[[#This Row],[ProductID]],tblProducts[ProductID],tblProducts[UnitCost],""),"")))</calculatedColumnFormula>
    </tableColumn>
    <tableColumn id="5" xr3:uid="{AA49F43A-789F-4792-A626-984B5F82B499}" name="ReorderLevel" dataDxfId="76">
      <calculatedColumnFormula>IF(tblInventory[[#This Row],[ProductID]]="","",IF(ISNUMBER(SEARCH("ProductID",tblInventory[[#This Row],[ProductID]])),"ReorderLevel",IFERROR(_xlfn.XLOOKUP(tblInventory[[#This Row],[ProductID]],tblProducts[ProductID],tblProducts[ReorderLevel],""),"")))</calculatedColumnFormula>
    </tableColumn>
    <tableColumn id="6" xr3:uid="{0442E717-4FCE-4DA0-B797-49380330800D}" name="QuantityOnHand" dataDxfId="75">
      <calculatedColumnFormula>IF(tblInventory[[#This Row],[ProductID]]="","",IF(ISNUMBER(SEARCH("ProductID",tblInventory[[#This Row],[ProductID]])),"QuantityOnHand (auto)",IFERROR(SUMIFS(tblTrans[Quantity],tblTrans[ProductID],tblInventory[[#This Row],[ProductID]],tblTrans[Location],tblInventory[[#This Row],[Location]]),"")))</calculatedColumnFormula>
    </tableColumn>
    <tableColumn id="7" xr3:uid="{2F6B3FF1-39C1-4C35-99BE-4EB1D1656143}" name="StockValue" dataDxfId="74">
      <calculatedColumnFormula>IF(tblInventory[[#This Row],[ProductID]]="","",IF(ISNUMBER(SEARCH("ProductID",tblInventory[[#This Row],[ProductID]])),"StockValue (auto)",IFERROR(tblInventory[[#This Row],[QuantityOnHand]]*tblInventory[[#This Row],[UnitCost]],"")))</calculatedColumnFormula>
    </tableColumn>
    <tableColumn id="8" xr3:uid="{00B62134-AA9B-4AEA-89DD-E18E77AA3A0A}" name="ReorderFlag" dataDxfId="73">
      <calculatedColumnFormula>IF(tblInventory[[#This Row],[ProductID]]="","",IF(ISNUMBER(SEARCH("ProductID",tblInventory[[#This Row],[ProductID]])),"ReorderFlag (auto)",IFERROR(IF(tblInventory[[#This Row],[QuantityOnHand]]&lt;=tblInventory[[#This Row],[ReorderLevel]],"Yes","No"),"")))</calculatedColumnFormula>
    </tableColumn>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A74762D-0F0C-4314-B5E1-32FB92DF7341}" name="tblReorderReport" displayName="tblReorderReport" ref="A1:H6" totalsRowShown="0" headerRowDxfId="72" dataDxfId="71">
  <autoFilter ref="A1:H6" xr:uid="{0A74762D-0F0C-4314-B5E1-32FB92DF7341}"/>
  <tableColumns count="8">
    <tableColumn id="1" xr3:uid="{0A861D91-EB0A-4BD3-B811-3BC0E5006245}" name="Supplier" dataDxfId="70">
      <calculatedColumnFormula>IF(tblReorderReport[[#This Row],[ProductID]]="","",IF(ISNUMBER(SEARCH("ProductID",tblReorderReport[[#This Row],[ProductID]])),"Supplier",IFERROR(_xlfn.XLOOKUP(tblReorderReport[[#This Row],[ProductID]],tblProducts[ProductID],tblProducts[Supplier],""),"")))</calculatedColumnFormula>
    </tableColumn>
    <tableColumn id="2" xr3:uid="{64FD317D-CB5B-4FBB-A292-0A21289D2254}" name="ProductID" dataDxfId="69"/>
    <tableColumn id="3" xr3:uid="{8B84D2EC-1EC0-46E2-9F79-03E8F3113E2F}" name="ProductName" dataDxfId="68">
      <calculatedColumnFormula>IF(tblReorderReport[[#This Row],[ProductID]]="","",IF(ISNUMBER(SEARCH("ProductID",tblReorderReport[[#This Row],[ProductID]])),"ProductName",IFERROR(_xlfn.XLOOKUP(tblReorderReport[[#This Row],[ProductID]],tblProducts[ProductID],tblProducts[ProductName],""),"")))</calculatedColumnFormula>
    </tableColumn>
    <tableColumn id="4" xr3:uid="{2F26B3D2-23DD-4F6D-99CA-53CC4F938DB7}" name="Location" dataDxfId="67"/>
    <tableColumn id="5" xr3:uid="{938689DC-3331-40A0-8EBB-BA27DC5B72CB}" name="CurrentStock" dataDxfId="66">
      <calculatedColumnFormula array="1">IF(tblReorderReport[[#This Row],[ProductID]]="","",IF(ISNUMBER(SEARCH("ProductID",tblReorderReport[[#This Row],[ProductID]])),"CurrentStock",IFERROR(_xlfn.XLOOKUP(1,(tblInventory[ProductID]=tblReorderReport[[#This Row],[ProductID]])*(tblInventory[Location]=tblReorderReport[[#This Row],[Location]]),tblInventory[QuantityOnHand],""),"")))</calculatedColumnFormula>
    </tableColumn>
    <tableColumn id="6" xr3:uid="{111A4E3C-4E7B-4A43-8145-EF96F743A704}" name="ReorderLevel" dataDxfId="65">
      <calculatedColumnFormula>IF(tblReorderReport[[#This Row],[ProductID]]="","",IF(ISNUMBER(SEARCH("ProductID",tblReorderReport[[#This Row],[ProductID]])),"ReorderLevel",IFERROR(_xlfn.XLOOKUP(tblReorderReport[[#This Row],[ProductID]],tblProducts[ProductID],tblProducts[ReorderLevel],""),"")))</calculatedColumnFormula>
    </tableColumn>
    <tableColumn id="7" xr3:uid="{11C28571-D638-4EE4-948E-27527E1E17AE}" name="SuggestedOrderQty" dataDxfId="64">
      <calculatedColumnFormula>IF(tblReorderReport[[#This Row],[ProductID]]="","",IF(ISNUMBER(SEARCH("ProductID",tblReorderReport[[#This Row],[ProductID]])),"SuggestedOrderQty",IFERROR(MAX(tblReorderReport[[#This Row],[ReorderLevel]]-tblReorderReport[[#This Row],[CurrentStock]],0),"")))</calculatedColumnFormula>
    </tableColumn>
    <tableColumn id="8" xr3:uid="{1DBE9A5A-671A-4F94-A98B-7A573D7F3FB9}" name="TotalCost" dataDxfId="63">
      <calculatedColumnFormula>IF(tblReorderReport[[#This Row],[ProductID]]="","",IF(ISNUMBER(SEARCH("ProductID",tblReorderReport[[#This Row],[ProductID]])),"TotalCost",IFERROR(tblReorderReport[[#This Row],[SuggestedOrderQty]]*_xlfn.XLOOKUP(tblReorderReport[[#This Row],[ProductID]],tblProducts[ProductID],tblProducts[UnitCost],0),"")))</calculatedColumnFormula>
    </tableColumn>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F60D8C-7922-43FF-AF9C-579182138E83}" name="tblPivotSlicerData" displayName="tblPivotSlicerData" ref="A1:I501" totalsRowShown="0" headerRowDxfId="36" dataDxfId="35">
  <autoFilter ref="A1:I501" xr:uid="{D8F60D8C-7922-43FF-AF9C-579182138E83}"/>
  <tableColumns count="9">
    <tableColumn id="1" xr3:uid="{CC84EE86-C620-4F21-B179-0CB484537087}" name="Date" dataDxfId="34"/>
    <tableColumn id="2" xr3:uid="{FC2BE62D-E600-44FF-81AD-B23D8D997E90}" name="ProductID" dataDxfId="33"/>
    <tableColumn id="3" xr3:uid="{B742C4E0-386A-41FC-8BC6-47074C07F72C}" name="Location" dataDxfId="32"/>
    <tableColumn id="4" xr3:uid="{A7B7A4EF-87E9-4101-AB23-DBF6400A4F16}" name="Quantity" dataDxfId="31"/>
    <tableColumn id="5" xr3:uid="{48A8D1D0-04D2-477C-BCAA-229621A08E91}" name="Type" dataDxfId="30"/>
    <tableColumn id="6" xr3:uid="{4A130B18-08B8-42B4-9921-48AB56950D39}" name="ProductName" dataDxfId="29">
      <calculatedColumnFormula>IFERROR(_xlfn.XLOOKUP(B2,tblProducts[ProductID],tblProducts[ProductName],""),"")</calculatedColumnFormula>
    </tableColumn>
    <tableColumn id="7" xr3:uid="{0293DFEC-9B97-4690-A0A0-37E200586BE2}" name="Category" dataDxfId="28">
      <calculatedColumnFormula>IFERROR(_xlfn.XLOOKUP(B2,tblProducts[ProductID],tblProducts[Category],""),"")</calculatedColumnFormula>
    </tableColumn>
    <tableColumn id="8" xr3:uid="{613D276A-5382-439D-A3D2-E270D7CEBDAD}" name="Supplier" dataDxfId="27">
      <calculatedColumnFormula>IFERROR(_xlfn.XLOOKUP(B2,tblProducts[ProductID],tblProducts[Supplier],""),"")</calculatedColumnFormula>
    </tableColumn>
    <tableColumn id="9" xr3:uid="{99E9A296-0FE4-40D0-895E-14C098442957}" name="StockValue" dataDxfId="26">
      <calculatedColumnFormula>IFERROR(D2*_xlfn.XLOOKUP(B2,tblProducts[ProductID],tblProducts[UnitCost],0),"")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5" Type="http://schemas.openxmlformats.org/officeDocument/2006/relationships/table" Target="../tables/table5.xml"/><Relationship Id="rId4"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9B15E-3F84-49D2-AF69-A945FCF0ACA6}">
  <sheetPr codeName="Sheet1"/>
  <dimension ref="A1:Q31"/>
  <sheetViews>
    <sheetView showGridLines="0" zoomScaleNormal="100" workbookViewId="0">
      <selection activeCell="E4" sqref="E4"/>
    </sheetView>
  </sheetViews>
  <sheetFormatPr defaultRowHeight="16.5" x14ac:dyDescent="0.3"/>
  <cols>
    <col min="1" max="1" width="31.21875" style="6" bestFit="1" customWidth="1"/>
    <col min="2" max="2" width="27.88671875" style="6" bestFit="1" customWidth="1"/>
    <col min="3" max="3" width="13.44140625" style="6" bestFit="1" customWidth="1"/>
    <col min="4" max="4" width="15" style="6" bestFit="1" customWidth="1"/>
    <col min="5" max="5" width="34.21875" style="6" bestFit="1" customWidth="1"/>
    <col min="6" max="9" width="11.21875" style="6" customWidth="1"/>
    <col min="10" max="10" width="13.6640625" bestFit="1" customWidth="1"/>
    <col min="11" max="11" width="28.5546875" bestFit="1" customWidth="1"/>
    <col min="12" max="12" width="12.88671875" bestFit="1" customWidth="1"/>
    <col min="13" max="13" width="30.88671875" bestFit="1" customWidth="1"/>
    <col min="14" max="14" width="11.44140625" bestFit="1" customWidth="1"/>
    <col min="15" max="15" width="36.77734375" bestFit="1" customWidth="1"/>
    <col min="16" max="16" width="33.109375" bestFit="1" customWidth="1"/>
    <col min="17" max="17" width="30" bestFit="1" customWidth="1"/>
  </cols>
  <sheetData>
    <row r="1" spans="1:17" ht="21" x14ac:dyDescent="0.3">
      <c r="A1" s="50" t="s">
        <v>55</v>
      </c>
      <c r="B1" s="50"/>
      <c r="C1" s="50"/>
      <c r="D1" s="50"/>
      <c r="E1" s="50"/>
      <c r="F1" s="50"/>
      <c r="G1" s="50"/>
      <c r="H1" s="50"/>
      <c r="I1" s="50"/>
      <c r="J1" s="7" t="s">
        <v>25</v>
      </c>
      <c r="K1" s="8" t="s">
        <v>34</v>
      </c>
      <c r="L1" s="7" t="s">
        <v>27</v>
      </c>
      <c r="M1" s="9" t="s">
        <v>50</v>
      </c>
      <c r="N1" s="7" t="s">
        <v>60</v>
      </c>
      <c r="O1" s="8" t="s">
        <v>61</v>
      </c>
      <c r="P1" s="7" t="s">
        <v>62</v>
      </c>
      <c r="Q1" s="8" t="s">
        <v>63</v>
      </c>
    </row>
    <row r="2" spans="1:17" x14ac:dyDescent="0.3">
      <c r="J2" s="10" t="str" cm="1">
        <f t="array" ref="J2">IF(SUMPRODUCT(--(tblProducts[ProductID]&lt;&gt;""),--ISERROR(SEARCH("ProductID",tblProducts[ProductID])))=0,"Select Category",Settings!B6)</f>
        <v>Select Category</v>
      </c>
      <c r="K2" s="10" t="str" cm="1">
        <f t="array" aca="1" ref="K2" ca="1">IF(SUMPRODUCT(--(tblProducts[ProductID]&lt;&gt;""),--ISERROR(SEARCH("ProductID",tblProducts[ProductID])))=0,"Quantity will update automatically",SUMPRODUCT(SUBTOTAL(109,OFFSET(PivotData!$D$2:$D$501,ROW(PivotData!$D$2:$D$501)-ROW(PivotData!$D$2),0,1)),--(PivotData!$G$2:$G$501=J2)))</f>
        <v>Quantity will update automatically</v>
      </c>
      <c r="L2" s="10" t="str" cm="1">
        <f t="array" ref="L2">IF(SUMPRODUCT(--(tblProducts[ProductID]&lt;&gt;""),--ISERROR(SEARCH("ProductID",tblProducts[ProductID])))=0,"Select Supplier",Settings!B12)</f>
        <v>Select Supplier</v>
      </c>
      <c r="M2" s="10" t="str" cm="1">
        <f t="array" aca="1" ref="M2" ca="1">IF(SUMPRODUCT(--(tblProducts[ProductID]&lt;&gt;""),--ISERROR(SEARCH("ProductID",tblProducts[ProductID])))=0,"Stock Value will update automatically",SUMPRODUCT(SUBTOTAL(109,OFFSET(PivotData!$I$2:$I$501,ROW(PivotData!$I$2:$I$501)-ROW(PivotData!$I$2),0,1)),--(PivotData!$H$2:$H$501=L2)))</f>
        <v>Stock Value will update automatically</v>
      </c>
      <c r="N2" s="10" t="str" cm="1">
        <f t="array" ref="N2">IF(SUMPRODUCT(--(tblProducts[ProductID]&lt;&gt;""),--ISERROR(SEARCH("ProductID",tblProducts[ProductID])))=0,"Select Month",CHOOSE(1,"Jan","Feb","Mar","Apr","May","Jun"))</f>
        <v>Select Month</v>
      </c>
      <c r="O2" s="10" t="str" cm="1">
        <f t="array" aca="1" ref="O2" ca="1">IF(SUMPRODUCT(--(tblProducts[ProductID]&lt;&gt;""),--ISERROR(SEARCH("ProductID",tblProducts[ProductID])))=0,"Monthly Movement will update automatically",SUMPRODUCT(SUBTOTAL(109,OFFSET(PivotData!$D$2:$D$501,ROW(PivotData!$D$2:$D$501)-ROW(PivotData!$D$2),0,1)),--(IFERROR(MONTH(PivotData!$A$2:$A$501),0)=1)))</f>
        <v>Monthly Movement will update automatically</v>
      </c>
      <c r="P2" s="10" t="str" cm="1">
        <f t="array" ref="P2">IF(SUMPRODUCT(--(tblProducts[ProductID]&lt;&gt;""),--ISERROR(SEARCH("ProductID",tblProducts[ProductID])))=0,"Fastest Movers will update automatically",IFERROR(INDEX(tblProducts[ProductName],1),""))</f>
        <v>Fastest Movers will update automatically</v>
      </c>
      <c r="Q2" s="10" t="str" cm="1">
        <f t="array" aca="1" ref="Q2" ca="1">IF(SUMPRODUCT(--(tblProducts[ProductID]&lt;&gt;""),--ISERROR(SEARCH("ProductID",tblProducts[ProductID])))=0,"Movement will update automatically",SUMPRODUCT(SUBTOTAL(109,OFFSET(PivotData!$D$2:$D$501,ROW(PivotData!$D$2:$D$501)-ROW(PivotData!$D$2),0,1)),--(PivotData!$F$2:$F$501=P2)))</f>
        <v>Movement will update automatically</v>
      </c>
    </row>
    <row r="3" spans="1:17" x14ac:dyDescent="0.3">
      <c r="A3" s="11" t="s">
        <v>56</v>
      </c>
      <c r="B3" s="11" t="s">
        <v>57</v>
      </c>
      <c r="C3" s="11" t="s">
        <v>58</v>
      </c>
      <c r="D3" s="11" t="s">
        <v>59</v>
      </c>
      <c r="J3" s="10" t="str" cm="1">
        <f t="array" ref="J3">IF(SUMPRODUCT(--(tblProducts[ProductID]&lt;&gt;""),--ISERROR(SEARCH("ProductID",tblProducts[ProductID])))=0,"",Settings!B7)</f>
        <v/>
      </c>
      <c r="K3" s="10" t="str" cm="1">
        <f t="array" aca="1" ref="K3" ca="1">IF(SUMPRODUCT(--(tblProducts[ProductID]&lt;&gt;""),--ISERROR(SEARCH("ProductID",tblProducts[ProductID])))=0,"",SUMPRODUCT(SUBTOTAL(109,OFFSET(PivotData!$D$2:$D$501,ROW(PivotData!$D$2:$D$501)-ROW(PivotData!$D$2),0,1)),--(PivotData!$G$2:$G$501=J3)))</f>
        <v/>
      </c>
      <c r="L3" s="10" t="str" cm="1">
        <f t="array" ref="L3">IF(SUMPRODUCT(--(tblProducts[ProductID]&lt;&gt;""),--ISERROR(SEARCH("ProductID",tblProducts[ProductID])))=0,"",Settings!B13)</f>
        <v/>
      </c>
      <c r="M3" s="10" t="str" cm="1">
        <f t="array" aca="1" ref="M3" ca="1">IF(SUMPRODUCT(--(tblProducts[ProductID]&lt;&gt;""),--ISERROR(SEARCH("ProductID",tblProducts[ProductID])))=0,"",SUMPRODUCT(SUBTOTAL(109,OFFSET(PivotData!$I$2:$I$501,ROW(PivotData!$I$2:$I$501)-ROW(PivotData!$I$2),0,1)),--(PivotData!$H$2:$H$501=L3)))</f>
        <v/>
      </c>
      <c r="N3" s="10" t="str" cm="1">
        <f t="array" ref="N3">IF(SUMPRODUCT(--(tblProducts[ProductID]&lt;&gt;""),--ISERROR(SEARCH("ProductID",tblProducts[ProductID])))=0,"",CHOOSE(2,"Jan","Feb","Mar","Apr","May","Jun"))</f>
        <v/>
      </c>
      <c r="O3" s="10" t="str" cm="1">
        <f t="array" aca="1" ref="O3" ca="1">IF(SUMPRODUCT(--(tblProducts[ProductID]&lt;&gt;""),--ISERROR(SEARCH("ProductID",tblProducts[ProductID])))=0,"",SUMPRODUCT(SUBTOTAL(109,OFFSET(PivotData!$D$2:$D$501,ROW(PivotData!$D$2:$D$501)-ROW(PivotData!$D$2),0,1)),--(IFERROR(MONTH(PivotData!$A$2:$A$501),0)=2)))</f>
        <v/>
      </c>
      <c r="P3" s="10" t="str" cm="1">
        <f t="array" ref="P3">IF(SUMPRODUCT(--(tblProducts[ProductID]&lt;&gt;""),--ISERROR(SEARCH("ProductID",tblProducts[ProductID])))=0,"",IFERROR(INDEX(tblProducts[ProductName],2),""))</f>
        <v/>
      </c>
      <c r="Q3" s="10" t="str" cm="1">
        <f t="array" aca="1" ref="Q3" ca="1">IF(SUMPRODUCT(--(tblProducts[ProductID]&lt;&gt;""),--ISERROR(SEARCH("ProductID",tblProducts[ProductID])))=0,"",SUMPRODUCT(SUBTOTAL(109,OFFSET(PivotData!$D$2:$D$501,ROW(PivotData!$D$2:$D$501)-ROW(PivotData!$D$2),0,1)),--(PivotData!$F$2:$F$501=P3)))</f>
        <v/>
      </c>
    </row>
    <row r="4" spans="1:17" ht="18.75" x14ac:dyDescent="0.3">
      <c r="A4" s="12">
        <f>SUM(tblInventory[StockValue])</f>
        <v>0</v>
      </c>
      <c r="B4" s="13">
        <f>SUM(tblInventory[QuantityOnHand])</f>
        <v>0</v>
      </c>
      <c r="C4" s="13">
        <f>COUNTIF(tblInventory[ReorderFlag], "Yes")</f>
        <v>0</v>
      </c>
      <c r="D4" s="13">
        <f>COUNTIF(tblInventory[QuantityOnHand], 0)</f>
        <v>0</v>
      </c>
      <c r="J4" s="10" t="str" cm="1">
        <f t="array" ref="J4">IF(SUMPRODUCT(--(tblProducts[ProductID]&lt;&gt;""),--ISERROR(SEARCH("ProductID",tblProducts[ProductID])))=0,"",Settings!B8)</f>
        <v/>
      </c>
      <c r="K4" s="10" t="str" cm="1">
        <f t="array" aca="1" ref="K4" ca="1">IF(SUMPRODUCT(--(tblProducts[ProductID]&lt;&gt;""),--ISERROR(SEARCH("ProductID",tblProducts[ProductID])))=0,"",SUMPRODUCT(SUBTOTAL(109,OFFSET(PivotData!$D$2:$D$501,ROW(PivotData!$D$2:$D$501)-ROW(PivotData!$D$2),0,1)),--(PivotData!$G$2:$G$501=J4)))</f>
        <v/>
      </c>
      <c r="L4" s="10" t="str" cm="1">
        <f t="array" ref="L4">IF(SUMPRODUCT(--(tblProducts[ProductID]&lt;&gt;""),--ISERROR(SEARCH("ProductID",tblProducts[ProductID])))=0,"",Settings!B14)</f>
        <v/>
      </c>
      <c r="M4" s="10" t="str" cm="1">
        <f t="array" aca="1" ref="M4" ca="1">IF(SUMPRODUCT(--(tblProducts[ProductID]&lt;&gt;""),--ISERROR(SEARCH("ProductID",tblProducts[ProductID])))=0,"",SUMPRODUCT(SUBTOTAL(109,OFFSET(PivotData!$I$2:$I$501,ROW(PivotData!$I$2:$I$501)-ROW(PivotData!$I$2),0,1)),--(PivotData!$H$2:$H$501=L4)))</f>
        <v/>
      </c>
      <c r="N4" s="10" t="str" cm="1">
        <f t="array" ref="N4">IF(SUMPRODUCT(--(tblProducts[ProductID]&lt;&gt;""),--ISERROR(SEARCH("ProductID",tblProducts[ProductID])))=0,"",CHOOSE(3,"Jan","Feb","Mar","Apr","May","Jun"))</f>
        <v/>
      </c>
      <c r="O4" s="10" t="str" cm="1">
        <f t="array" aca="1" ref="O4" ca="1">IF(SUMPRODUCT(--(tblProducts[ProductID]&lt;&gt;""),--ISERROR(SEARCH("ProductID",tblProducts[ProductID])))=0,"",SUMPRODUCT(SUBTOTAL(109,OFFSET(PivotData!$D$2:$D$501,ROW(PivotData!$D$2:$D$501)-ROW(PivotData!$D$2),0,1)),--(IFERROR(MONTH(PivotData!$A$2:$A$501),0)=3)))</f>
        <v/>
      </c>
      <c r="P4" s="10" t="str" cm="1">
        <f t="array" ref="P4">IF(SUMPRODUCT(--(tblProducts[ProductID]&lt;&gt;""),--ISERROR(SEARCH("ProductID",tblProducts[ProductID])))=0,"",IFERROR(INDEX(tblProducts[ProductName],3),""))</f>
        <v/>
      </c>
      <c r="Q4" s="10" t="str" cm="1">
        <f t="array" aca="1" ref="Q4" ca="1">IF(SUMPRODUCT(--(tblProducts[ProductID]&lt;&gt;""),--ISERROR(SEARCH("ProductID",tblProducts[ProductID])))=0,"",SUMPRODUCT(SUBTOTAL(109,OFFSET(PivotData!$D$2:$D$501,ROW(PivotData!$D$2:$D$501)-ROW(PivotData!$D$2),0,1)),--(PivotData!$F$2:$F$501=P4)))</f>
        <v/>
      </c>
    </row>
    <row r="5" spans="1:17" x14ac:dyDescent="0.3">
      <c r="J5" s="10" t="str" cm="1">
        <f t="array" ref="J5">IF(SUMPRODUCT(--(tblProducts[ProductID]&lt;&gt;""),--ISERROR(SEARCH("ProductID",tblProducts[ProductID])))=0,"",Settings!B9)</f>
        <v/>
      </c>
      <c r="K5" s="10" t="str" cm="1">
        <f t="array" aca="1" ref="K5" ca="1">IF(SUMPRODUCT(--(tblProducts[ProductID]&lt;&gt;""),--ISERROR(SEARCH("ProductID",tblProducts[ProductID])))=0,"",SUMPRODUCT(SUBTOTAL(109,OFFSET(PivotData!$D$2:$D$501,ROW(PivotData!$D$2:$D$501)-ROW(PivotData!$D$2),0,1)),--(PivotData!$G$2:$G$501=J5)))</f>
        <v/>
      </c>
      <c r="L5" s="10" t="str" cm="1">
        <f t="array" ref="L5">IF(SUMPRODUCT(--(tblProducts[ProductID]&lt;&gt;""),--ISERROR(SEARCH("ProductID",tblProducts[ProductID])))=0,"",Settings!B15)</f>
        <v/>
      </c>
      <c r="M5" s="10" t="str" cm="1">
        <f t="array" aca="1" ref="M5" ca="1">IF(SUMPRODUCT(--(tblProducts[ProductID]&lt;&gt;""),--ISERROR(SEARCH("ProductID",tblProducts[ProductID])))=0,"",SUMPRODUCT(SUBTOTAL(109,OFFSET(PivotData!$I$2:$I$501,ROW(PivotData!$I$2:$I$501)-ROW(PivotData!$I$2),0,1)),--(PivotData!$H$2:$H$501=L5)))</f>
        <v/>
      </c>
      <c r="N5" s="10" t="str" cm="1">
        <f t="array" ref="N5">IF(SUMPRODUCT(--(tblProducts[ProductID]&lt;&gt;""),--ISERROR(SEARCH("ProductID",tblProducts[ProductID])))=0,"",CHOOSE(4,"Jan","Feb","Mar","Apr","May","Jun"))</f>
        <v/>
      </c>
      <c r="O5" s="10" t="str" cm="1">
        <f t="array" aca="1" ref="O5" ca="1">IF(SUMPRODUCT(--(tblProducts[ProductID]&lt;&gt;""),--ISERROR(SEARCH("ProductID",tblProducts[ProductID])))=0,"",SUMPRODUCT(SUBTOTAL(109,OFFSET(PivotData!$D$2:$D$501,ROW(PivotData!$D$2:$D$501)-ROW(PivotData!$D$2),0,1)),--(IFERROR(MONTH(PivotData!$A$2:$A$501),0)=4)))</f>
        <v/>
      </c>
      <c r="P5" s="10" t="str" cm="1">
        <f t="array" ref="P5">IF(SUMPRODUCT(--(tblProducts[ProductID]&lt;&gt;""),--ISERROR(SEARCH("ProductID",tblProducts[ProductID])))=0,"",IFERROR(INDEX(tblProducts[ProductName],4),""))</f>
        <v/>
      </c>
      <c r="Q5" s="10" t="str" cm="1">
        <f t="array" aca="1" ref="Q5" ca="1">IF(SUMPRODUCT(--(tblProducts[ProductID]&lt;&gt;""),--ISERROR(SEARCH("ProductID",tblProducts[ProductID])))=0,"",SUMPRODUCT(SUBTOTAL(109,OFFSET(PivotData!$D$2:$D$501,ROW(PivotData!$D$2:$D$501)-ROW(PivotData!$D$2),0,1)),--(PivotData!$F$2:$F$501=P5)))</f>
        <v/>
      </c>
    </row>
    <row r="6" spans="1:17" x14ac:dyDescent="0.3">
      <c r="A6" s="49" t="s">
        <v>178</v>
      </c>
      <c r="B6" s="49"/>
      <c r="C6" s="49"/>
      <c r="D6" s="49" t="s">
        <v>179</v>
      </c>
      <c r="E6" s="49"/>
      <c r="F6" s="49" t="s">
        <v>177</v>
      </c>
      <c r="G6" s="49"/>
      <c r="H6" s="49"/>
      <c r="I6" s="49"/>
      <c r="J6" s="10" t="str" cm="1">
        <f t="array" ref="J6">IF(SUMPRODUCT(--(tblProducts[ProductID]&lt;&gt;""),--ISERROR(SEARCH("ProductID",tblProducts[ProductID])))=0,"",Settings!B10)</f>
        <v/>
      </c>
      <c r="K6" s="10" t="str" cm="1">
        <f t="array" aca="1" ref="K6" ca="1">IF(SUMPRODUCT(--(tblProducts[ProductID]&lt;&gt;""),--ISERROR(SEARCH("ProductID",tblProducts[ProductID])))=0,"",SUMPRODUCT(SUBTOTAL(109,OFFSET(PivotData!$D$2:$D$501,ROW(PivotData!$D$2:$D$501)-ROW(PivotData!$D$2),0,1)),--(PivotData!$G$2:$G$501=J6)))</f>
        <v/>
      </c>
      <c r="L6" s="10" t="str" cm="1">
        <f t="array" ref="L6">IF(SUMPRODUCT(--(tblProducts[ProductID]&lt;&gt;""),--ISERROR(SEARCH("ProductID",tblProducts[ProductID])))=0,"",Settings!B16)</f>
        <v/>
      </c>
      <c r="M6" s="10" t="str" cm="1">
        <f t="array" aca="1" ref="M6" ca="1">IF(SUMPRODUCT(--(tblProducts[ProductID]&lt;&gt;""),--ISERROR(SEARCH("ProductID",tblProducts[ProductID])))=0,"",SUMPRODUCT(SUBTOTAL(109,OFFSET(PivotData!$I$2:$I$501,ROW(PivotData!$I$2:$I$501)-ROW(PivotData!$I$2),0,1)),--(PivotData!$H$2:$H$501=L6)))</f>
        <v/>
      </c>
      <c r="N6" s="10" t="str" cm="1">
        <f t="array" ref="N6">IF(SUMPRODUCT(--(tblProducts[ProductID]&lt;&gt;""),--ISERROR(SEARCH("ProductID",tblProducts[ProductID])))=0,"",CHOOSE(5,"Jan","Feb","Mar","Apr","May","Jun"))</f>
        <v/>
      </c>
      <c r="O6" s="10" t="str" cm="1">
        <f t="array" aca="1" ref="O6" ca="1">IF(SUMPRODUCT(--(tblProducts[ProductID]&lt;&gt;""),--ISERROR(SEARCH("ProductID",tblProducts[ProductID])))=0,"",SUMPRODUCT(SUBTOTAL(109,OFFSET(PivotData!$D$2:$D$501,ROW(PivotData!$D$2:$D$501)-ROW(PivotData!$D$2),0,1)),--(IFERROR(MONTH(PivotData!$A$2:$A$501),0)=5)))</f>
        <v/>
      </c>
      <c r="P6" s="10" t="str" cm="1">
        <f t="array" ref="P6">IF(SUMPRODUCT(--(tblProducts[ProductID]&lt;&gt;""),--ISERROR(SEARCH("ProductID",tblProducts[ProductID])))=0,"",IFERROR(INDEX(tblProducts[ProductName],5),""))</f>
        <v/>
      </c>
      <c r="Q6" s="10" t="str" cm="1">
        <f t="array" aca="1" ref="Q6" ca="1">IF(SUMPRODUCT(--(tblProducts[ProductID]&lt;&gt;""),--ISERROR(SEARCH("ProductID",tblProducts[ProductID])))=0,"",SUMPRODUCT(SUBTOTAL(109,OFFSET(PivotData!$D$2:$D$501,ROW(PivotData!$D$2:$D$501)-ROW(PivotData!$D$2),0,1)),--(PivotData!$F$2:$F$501=P6)))</f>
        <v/>
      </c>
    </row>
    <row r="7" spans="1:17" x14ac:dyDescent="0.3">
      <c r="A7" s="15" t="s">
        <v>25</v>
      </c>
      <c r="B7" s="15" t="s">
        <v>34</v>
      </c>
      <c r="D7" s="15" t="s">
        <v>27</v>
      </c>
      <c r="E7" s="15" t="s">
        <v>50</v>
      </c>
      <c r="F7" s="16"/>
      <c r="G7" s="16"/>
      <c r="H7" s="16"/>
      <c r="I7" s="17"/>
      <c r="J7" s="18"/>
      <c r="K7" s="18"/>
      <c r="L7" s="18"/>
      <c r="M7" s="18"/>
      <c r="N7" s="19" t="str" cm="1">
        <f t="array" ref="N7">IF(SUMPRODUCT(--(tblProducts[ProductID]&lt;&gt;""),--ISERROR(SEARCH("ProductID",tblProducts[ProductID])))=0,"","Jun")</f>
        <v/>
      </c>
      <c r="O7" s="20" t="str" cm="1">
        <f t="array" aca="1" ref="O7" ca="1">IF(SUMPRODUCT(--(tblProducts[ProductID]&lt;&gt;""),--ISERROR(SEARCH("ProductID",tblProducts[ProductID])))=0,"",SUMPRODUCT(SUBTOTAL(109,OFFSET(PivotData!$D$2:$D$501,ROW(PivotData!$D$2:$D$501)-ROW(PivotData!$D$2),0,1)),--(IFERROR(MONTH(PivotData!$A$2:$A$501),0)=6)))</f>
        <v/>
      </c>
      <c r="P7" s="18"/>
      <c r="Q7" s="18"/>
    </row>
    <row r="8" spans="1:17" x14ac:dyDescent="0.3">
      <c r="A8" s="21" t="str">
        <f t="shared" ref="A8:B12" si="0">J2</f>
        <v>Select Category</v>
      </c>
      <c r="B8" s="22" t="str">
        <f t="shared" ca="1" si="0"/>
        <v>Quantity will update automatically</v>
      </c>
      <c r="D8" s="21" t="str">
        <f t="shared" ref="D8:E12" si="1">L2</f>
        <v>Select Supplier</v>
      </c>
      <c r="E8" s="23" t="str">
        <f t="shared" ca="1" si="1"/>
        <v>Stock Value will update automatically</v>
      </c>
      <c r="F8" s="24"/>
      <c r="G8" s="24"/>
      <c r="H8" s="24"/>
      <c r="I8" s="17"/>
    </row>
    <row r="9" spans="1:17" x14ac:dyDescent="0.3">
      <c r="A9" s="21" t="str">
        <f t="shared" si="0"/>
        <v/>
      </c>
      <c r="B9" s="22" t="str">
        <f t="shared" ca="1" si="0"/>
        <v/>
      </c>
      <c r="D9" s="21" t="str">
        <f t="shared" si="1"/>
        <v/>
      </c>
      <c r="E9" s="23" t="str">
        <f t="shared" ca="1" si="1"/>
        <v/>
      </c>
      <c r="F9" s="24"/>
      <c r="G9" s="24"/>
      <c r="H9" s="24"/>
      <c r="I9" s="17"/>
    </row>
    <row r="10" spans="1:17" x14ac:dyDescent="0.3">
      <c r="A10" s="21" t="str">
        <f t="shared" si="0"/>
        <v/>
      </c>
      <c r="B10" s="22" t="str">
        <f t="shared" ca="1" si="0"/>
        <v/>
      </c>
      <c r="D10" s="21" t="str">
        <f t="shared" si="1"/>
        <v/>
      </c>
      <c r="E10" s="23" t="str">
        <f t="shared" ca="1" si="1"/>
        <v/>
      </c>
      <c r="F10" s="17"/>
      <c r="G10" s="17"/>
      <c r="H10" s="17"/>
      <c r="I10" s="17"/>
    </row>
    <row r="11" spans="1:17" x14ac:dyDescent="0.3">
      <c r="A11" s="21" t="str">
        <f t="shared" si="0"/>
        <v/>
      </c>
      <c r="B11" s="22" t="str">
        <f t="shared" ca="1" si="0"/>
        <v/>
      </c>
      <c r="D11" s="21" t="str">
        <f t="shared" si="1"/>
        <v/>
      </c>
      <c r="E11" s="23" t="str">
        <f t="shared" ca="1" si="1"/>
        <v/>
      </c>
      <c r="F11" s="17"/>
      <c r="G11" s="25"/>
      <c r="H11" s="25"/>
      <c r="I11" s="17"/>
    </row>
    <row r="12" spans="1:17" x14ac:dyDescent="0.3">
      <c r="A12" s="21" t="str">
        <f t="shared" si="0"/>
        <v/>
      </c>
      <c r="B12" s="22" t="str">
        <f t="shared" ca="1" si="0"/>
        <v/>
      </c>
      <c r="D12" s="21" t="str">
        <f t="shared" si="1"/>
        <v/>
      </c>
      <c r="E12" s="23" t="str">
        <f t="shared" ca="1" si="1"/>
        <v/>
      </c>
      <c r="F12" s="17"/>
      <c r="G12" s="17"/>
      <c r="H12" s="26"/>
      <c r="I12" s="17"/>
    </row>
    <row r="13" spans="1:17" x14ac:dyDescent="0.3">
      <c r="F13" s="17"/>
      <c r="G13" s="17"/>
      <c r="H13" s="26"/>
      <c r="I13" s="17"/>
    </row>
    <row r="14" spans="1:17" x14ac:dyDescent="0.3">
      <c r="F14" s="17"/>
      <c r="G14" s="17"/>
      <c r="H14" s="26"/>
      <c r="I14" s="17"/>
    </row>
    <row r="15" spans="1:17" x14ac:dyDescent="0.3">
      <c r="F15" s="17"/>
      <c r="G15" s="17"/>
      <c r="H15" s="26"/>
      <c r="I15" s="17"/>
    </row>
    <row r="16" spans="1:17" x14ac:dyDescent="0.3">
      <c r="A16" s="14"/>
      <c r="B16" s="14"/>
      <c r="F16" s="17"/>
      <c r="G16" s="17"/>
      <c r="H16" s="26"/>
      <c r="I16" s="17"/>
    </row>
    <row r="17" spans="1:9" x14ac:dyDescent="0.3">
      <c r="B17" s="27"/>
      <c r="F17" s="17"/>
      <c r="G17" s="17"/>
      <c r="H17" s="26"/>
      <c r="I17" s="17"/>
    </row>
    <row r="18" spans="1:9" x14ac:dyDescent="0.3">
      <c r="B18" s="27"/>
      <c r="F18" s="17"/>
      <c r="G18" s="17"/>
      <c r="H18" s="17"/>
      <c r="I18" s="17"/>
    </row>
    <row r="19" spans="1:9" x14ac:dyDescent="0.3">
      <c r="B19" s="27"/>
      <c r="F19" s="17"/>
      <c r="G19" s="17"/>
      <c r="H19" s="17"/>
      <c r="I19" s="17"/>
    </row>
    <row r="20" spans="1:9" x14ac:dyDescent="0.3">
      <c r="B20" s="27"/>
    </row>
    <row r="21" spans="1:9" x14ac:dyDescent="0.3">
      <c r="B21" s="27"/>
    </row>
    <row r="24" spans="1:9" x14ac:dyDescent="0.3">
      <c r="A24" s="49" t="s">
        <v>180</v>
      </c>
      <c r="B24" s="49"/>
      <c r="C24" s="49"/>
      <c r="D24" s="49" t="s">
        <v>181</v>
      </c>
      <c r="E24" s="49"/>
      <c r="F24" s="49"/>
      <c r="G24" s="49"/>
      <c r="H24" s="49"/>
      <c r="I24" s="49"/>
    </row>
    <row r="25" spans="1:9" x14ac:dyDescent="0.3">
      <c r="A25" s="15" t="s">
        <v>62</v>
      </c>
      <c r="B25" s="15" t="s">
        <v>63</v>
      </c>
      <c r="D25" s="15" t="s">
        <v>60</v>
      </c>
      <c r="E25" s="15" t="s">
        <v>61</v>
      </c>
    </row>
    <row r="26" spans="1:9" x14ac:dyDescent="0.3">
      <c r="A26" s="21" t="str">
        <f t="shared" ref="A26:B30" si="2">P2</f>
        <v>Fastest Movers will update automatically</v>
      </c>
      <c r="B26" s="22" t="str">
        <f t="shared" ca="1" si="2"/>
        <v>Movement will update automatically</v>
      </c>
      <c r="D26" s="21" t="str">
        <f t="shared" ref="D26:E31" si="3">N2</f>
        <v>Select Month</v>
      </c>
      <c r="E26" s="22" t="str">
        <f t="shared" ca="1" si="3"/>
        <v>Monthly Movement will update automatically</v>
      </c>
    </row>
    <row r="27" spans="1:9" x14ac:dyDescent="0.3">
      <c r="A27" s="21" t="str">
        <f t="shared" si="2"/>
        <v/>
      </c>
      <c r="B27" s="22" t="str">
        <f t="shared" ca="1" si="2"/>
        <v/>
      </c>
      <c r="D27" s="21" t="str">
        <f t="shared" si="3"/>
        <v/>
      </c>
      <c r="E27" s="22" t="str">
        <f t="shared" ca="1" si="3"/>
        <v/>
      </c>
    </row>
    <row r="28" spans="1:9" x14ac:dyDescent="0.3">
      <c r="A28" s="21" t="str">
        <f t="shared" si="2"/>
        <v/>
      </c>
      <c r="B28" s="22" t="str">
        <f t="shared" ca="1" si="2"/>
        <v/>
      </c>
      <c r="D28" s="21" t="str">
        <f t="shared" si="3"/>
        <v/>
      </c>
      <c r="E28" s="22" t="str">
        <f t="shared" ca="1" si="3"/>
        <v/>
      </c>
    </row>
    <row r="29" spans="1:9" x14ac:dyDescent="0.3">
      <c r="A29" s="21" t="str">
        <f t="shared" si="2"/>
        <v/>
      </c>
      <c r="B29" s="22" t="str">
        <f t="shared" ca="1" si="2"/>
        <v/>
      </c>
      <c r="D29" s="21" t="str">
        <f t="shared" si="3"/>
        <v/>
      </c>
      <c r="E29" s="22" t="str">
        <f t="shared" ca="1" si="3"/>
        <v/>
      </c>
    </row>
    <row r="30" spans="1:9" x14ac:dyDescent="0.3">
      <c r="A30" s="21" t="str">
        <f t="shared" si="2"/>
        <v/>
      </c>
      <c r="B30" s="22" t="str">
        <f t="shared" ca="1" si="2"/>
        <v/>
      </c>
      <c r="D30" s="21" t="str">
        <f t="shared" si="3"/>
        <v/>
      </c>
      <c r="E30" s="22" t="str">
        <f t="shared" ca="1" si="3"/>
        <v/>
      </c>
    </row>
    <row r="31" spans="1:9" x14ac:dyDescent="0.3">
      <c r="A31" s="28"/>
      <c r="B31" s="28"/>
      <c r="D31" s="21" t="str">
        <f t="shared" si="3"/>
        <v/>
      </c>
      <c r="E31" s="22" t="str">
        <f t="shared" ca="1" si="3"/>
        <v/>
      </c>
    </row>
  </sheetData>
  <sheetProtection autoFilter="0"/>
  <mergeCells count="6">
    <mergeCell ref="A24:C24"/>
    <mergeCell ref="D24:I24"/>
    <mergeCell ref="A1:I1"/>
    <mergeCell ref="F6:I6"/>
    <mergeCell ref="A6:C6"/>
    <mergeCell ref="D6:E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errorTitle="Invalid supplier" error="Please select a supplier from the dropdown list." promptTitle="Select supplier" prompt="Choose a supplier from the approved supplier list." xr:uid="{829F4AC9-527A-45D2-B99F-4BF38E1E30A0}">
          <x14:formula1>
            <xm:f>Settings!$B$12:$B$16</xm:f>
          </x14:formula1>
          <xm:sqref>D8:D12</xm:sqref>
        </x14:dataValidation>
        <x14:dataValidation type="list" allowBlank="1" showInputMessage="1" showErrorMessage="1" errorTitle="Invalid category" error="Please select a category from the dropdown list." promptTitle="Select category" prompt="Choose a category from the approved category list." xr:uid="{D2925CDA-62A8-42EF-9D13-86428A16AFEF}">
          <x14:formula1>
            <xm:f>Settings!$B$6:$B$10</xm:f>
          </x14:formula1>
          <xm:sqref>A8:A12</xm:sqref>
        </x14:dataValidation>
        <x14:dataValidation type="list" allowBlank="1" showInputMessage="1" showErrorMessage="1" errorTitle="Invalid product" error="Please select a product from the dropdown list." promptTitle="Select product" prompt="Choose a product from the approved product list." xr:uid="{B1A7BE99-51A2-48AD-A6C1-8DDDFCA6878C}">
          <x14:formula1>
            <xm:f>Products!$B:$B</xm:f>
          </x14:formula1>
          <xm:sqref>A17:A21 A26:A30</xm:sqref>
        </x14:dataValidation>
      </x14:dataValidations>
    </ex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BABE2-D181-4CA4-B06A-7E513831099A}">
  <sheetPr codeName="Sheet2"/>
  <dimension ref="A1:J7"/>
  <sheetViews>
    <sheetView workbookViewId="0">
      <selection activeCell="B12" sqref="B12"/>
    </sheetView>
  </sheetViews>
  <sheetFormatPr defaultRowHeight="16.5" x14ac:dyDescent="0.3"/>
  <cols>
    <col min="1" max="1" width="18.33203125" bestFit="1" customWidth="1"/>
    <col min="2" max="2" width="15.109375" bestFit="1" customWidth="1"/>
    <col min="3" max="3" width="18.109375" bestFit="1" customWidth="1"/>
    <col min="4" max="4" width="11" style="1" bestFit="1" customWidth="1"/>
    <col min="5" max="5" width="17.33203125" bestFit="1" customWidth="1"/>
    <col min="6" max="6" width="14.5546875" style="2" bestFit="1" customWidth="1"/>
    <col min="7" max="7" width="13.44140625" bestFit="1" customWidth="1"/>
    <col min="9" max="9" width="13.6640625" bestFit="1" customWidth="1"/>
    <col min="10" max="10" width="13.5546875" bestFit="1" customWidth="1"/>
  </cols>
  <sheetData>
    <row r="1" spans="1:10" x14ac:dyDescent="0.3">
      <c r="A1" s="29" t="s">
        <v>23</v>
      </c>
      <c r="B1" s="29" t="s">
        <v>24</v>
      </c>
      <c r="C1" s="29" t="s">
        <v>25</v>
      </c>
      <c r="D1" s="30" t="s">
        <v>26</v>
      </c>
      <c r="E1" s="29" t="s">
        <v>27</v>
      </c>
      <c r="F1" s="31" t="s">
        <v>28</v>
      </c>
      <c r="G1" s="29" t="s">
        <v>29</v>
      </c>
      <c r="I1" s="29" t="s">
        <v>39</v>
      </c>
      <c r="J1" s="29" t="s">
        <v>40</v>
      </c>
    </row>
    <row r="2" spans="1:10" x14ac:dyDescent="0.3">
      <c r="A2" s="41" t="s">
        <v>182</v>
      </c>
      <c r="B2" s="41" t="s">
        <v>24</v>
      </c>
      <c r="C2" s="41" t="s">
        <v>183</v>
      </c>
      <c r="D2" s="42" t="s">
        <v>26</v>
      </c>
      <c r="E2" s="41" t="s">
        <v>184</v>
      </c>
      <c r="F2" s="43" t="s">
        <v>28</v>
      </c>
      <c r="G2" s="41" t="s">
        <v>185</v>
      </c>
      <c r="I2" t="s">
        <v>25</v>
      </c>
      <c r="J2" t="s">
        <v>41</v>
      </c>
    </row>
    <row r="3" spans="1:10" x14ac:dyDescent="0.3">
      <c r="A3" s="44"/>
      <c r="B3" s="44"/>
      <c r="C3" s="44"/>
      <c r="D3" s="45"/>
      <c r="E3" s="44"/>
      <c r="F3" s="46"/>
      <c r="G3" s="44"/>
      <c r="I3" t="s">
        <v>27</v>
      </c>
      <c r="J3" t="s">
        <v>42</v>
      </c>
    </row>
    <row r="4" spans="1:10" x14ac:dyDescent="0.3">
      <c r="A4" s="44"/>
      <c r="B4" s="44"/>
      <c r="C4" s="44"/>
      <c r="D4" s="45"/>
      <c r="E4" s="44"/>
      <c r="F4" s="46"/>
      <c r="G4" s="44"/>
      <c r="I4" t="s">
        <v>29</v>
      </c>
      <c r="J4" t="s">
        <v>43</v>
      </c>
    </row>
    <row r="5" spans="1:10" x14ac:dyDescent="0.3">
      <c r="A5" s="44"/>
      <c r="B5" s="44"/>
      <c r="C5" s="44"/>
      <c r="D5" s="45"/>
      <c r="E5" s="44"/>
      <c r="F5" s="46"/>
      <c r="G5" s="44"/>
    </row>
    <row r="6" spans="1:10" x14ac:dyDescent="0.3">
      <c r="A6" s="44"/>
      <c r="B6" s="44"/>
      <c r="C6" s="44"/>
      <c r="D6" s="45"/>
      <c r="E6" s="44"/>
      <c r="F6" s="46"/>
      <c r="G6" s="44"/>
    </row>
    <row r="7" spans="1:10" x14ac:dyDescent="0.3">
      <c r="A7" s="44"/>
      <c r="B7" s="44"/>
      <c r="C7" s="44"/>
      <c r="D7" s="45"/>
      <c r="E7" s="44"/>
      <c r="F7" s="46"/>
      <c r="G7" s="44"/>
    </row>
  </sheetData>
  <sheetProtection sheet="1" objects="1" scenarios="1" formatColumns="0" insertRows="0" sort="0" autoFilter="0"/>
  <dataValidations count="3">
    <dataValidation type="list" allowBlank="1" showInputMessage="1" showErrorMessage="1" sqref="C7:C501" xr:uid="{5D6D0995-BC6A-4E79-A737-1983A7E4CE09}">
      <formula1>lstCategories</formula1>
    </dataValidation>
    <dataValidation type="list" allowBlank="1" showInputMessage="1" showErrorMessage="1" sqref="E7:E501" xr:uid="{2040D0AB-052A-47A3-BB2B-92229CA4681B}">
      <formula1>lstSuppliers</formula1>
    </dataValidation>
    <dataValidation type="list" allowBlank="1" showInputMessage="1" showErrorMessage="1" sqref="G7:G501" xr:uid="{7BE7742A-5974-4768-B371-E972D0A5D4F6}">
      <formula1>lstYesNo</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E6E9B-08C8-46C9-9402-D623ACC3AB10}">
  <sheetPr codeName="Sheet3"/>
  <dimension ref="A1:J501"/>
  <sheetViews>
    <sheetView topLeftCell="D1" workbookViewId="0">
      <selection activeCell="D3" sqref="D3"/>
    </sheetView>
  </sheetViews>
  <sheetFormatPr defaultRowHeight="16.5" x14ac:dyDescent="0.3"/>
  <cols>
    <col min="1" max="1" width="10.33203125" bestFit="1" customWidth="1"/>
    <col min="2" max="2" width="8.109375" style="3" bestFit="1" customWidth="1"/>
    <col min="3" max="3" width="12.21875" bestFit="1" customWidth="1"/>
    <col min="4" max="4" width="11" bestFit="1" customWidth="1"/>
    <col min="5" max="5" width="11.109375" style="2" bestFit="1" customWidth="1"/>
    <col min="6" max="6" width="40.21875" bestFit="1" customWidth="1"/>
    <col min="7" max="7" width="9" bestFit="1" customWidth="1"/>
    <col min="9" max="9" width="13.6640625" bestFit="1" customWidth="1"/>
    <col min="10" max="10" width="25.44140625" bestFit="1" customWidth="1"/>
  </cols>
  <sheetData>
    <row r="1" spans="1:10" x14ac:dyDescent="0.3">
      <c r="A1" s="29" t="s">
        <v>31</v>
      </c>
      <c r="B1" s="34" t="s">
        <v>32</v>
      </c>
      <c r="C1" s="29" t="s">
        <v>23</v>
      </c>
      <c r="D1" s="29" t="s">
        <v>33</v>
      </c>
      <c r="E1" s="31" t="s">
        <v>34</v>
      </c>
      <c r="F1" s="29" t="s">
        <v>35</v>
      </c>
      <c r="G1" s="29" t="s">
        <v>36</v>
      </c>
      <c r="I1" s="29" t="s">
        <v>39</v>
      </c>
      <c r="J1" s="29" t="s">
        <v>44</v>
      </c>
    </row>
    <row r="2" spans="1:10" x14ac:dyDescent="0.3">
      <c r="A2" t="str">
        <f t="shared" ref="A2:A65" si="0">"T"&amp;TEXT(ROW()-1,"000")</f>
        <v>T001</v>
      </c>
      <c r="B2" s="47" t="s">
        <v>32</v>
      </c>
      <c r="C2" s="41" t="s">
        <v>23</v>
      </c>
      <c r="D2" s="41" t="s">
        <v>33</v>
      </c>
      <c r="E2" s="43" t="s">
        <v>34</v>
      </c>
      <c r="F2" s="41" t="s">
        <v>186</v>
      </c>
      <c r="G2" s="41" t="s">
        <v>36</v>
      </c>
      <c r="I2" t="s">
        <v>23</v>
      </c>
      <c r="J2" t="s">
        <v>45</v>
      </c>
    </row>
    <row r="3" spans="1:10" x14ac:dyDescent="0.3">
      <c r="A3" t="str">
        <f t="shared" si="0"/>
        <v>T002</v>
      </c>
      <c r="B3" s="48"/>
      <c r="C3" s="44"/>
      <c r="D3" s="44"/>
      <c r="E3" s="46"/>
      <c r="F3" s="44"/>
      <c r="G3" s="44"/>
      <c r="I3" t="s">
        <v>33</v>
      </c>
      <c r="J3" t="s">
        <v>46</v>
      </c>
    </row>
    <row r="4" spans="1:10" x14ac:dyDescent="0.3">
      <c r="A4" t="str">
        <f t="shared" si="0"/>
        <v>T003</v>
      </c>
      <c r="B4" s="48"/>
      <c r="C4" s="44"/>
      <c r="D4" s="44"/>
      <c r="E4" s="46"/>
      <c r="F4" s="44"/>
      <c r="G4" s="44"/>
      <c r="I4" t="s">
        <v>35</v>
      </c>
      <c r="J4" t="s">
        <v>47</v>
      </c>
    </row>
    <row r="5" spans="1:10" x14ac:dyDescent="0.3">
      <c r="A5" t="str">
        <f t="shared" si="0"/>
        <v>T004</v>
      </c>
      <c r="B5" s="48"/>
      <c r="C5" s="44"/>
      <c r="D5" s="44"/>
      <c r="E5" s="46"/>
      <c r="F5" s="44"/>
      <c r="G5" s="44"/>
      <c r="I5" t="s">
        <v>34</v>
      </c>
      <c r="J5" t="s">
        <v>48</v>
      </c>
    </row>
    <row r="6" spans="1:10" x14ac:dyDescent="0.3">
      <c r="A6" t="str">
        <f t="shared" si="0"/>
        <v>T005</v>
      </c>
      <c r="B6" s="48"/>
      <c r="C6" s="44"/>
      <c r="D6" s="44"/>
      <c r="E6" s="46"/>
      <c r="F6" s="44"/>
      <c r="G6" s="44"/>
    </row>
    <row r="7" spans="1:10" x14ac:dyDescent="0.3">
      <c r="A7" t="str">
        <f t="shared" si="0"/>
        <v>T006</v>
      </c>
      <c r="B7" s="48"/>
      <c r="C7" s="44"/>
      <c r="D7" s="44"/>
      <c r="E7" s="46"/>
      <c r="F7" s="44"/>
      <c r="G7" s="44"/>
    </row>
    <row r="8" spans="1:10" x14ac:dyDescent="0.3">
      <c r="A8" t="str">
        <f t="shared" si="0"/>
        <v>T007</v>
      </c>
      <c r="B8" s="48"/>
      <c r="C8" s="44"/>
      <c r="D8" s="44"/>
      <c r="E8" s="46"/>
      <c r="F8" s="44"/>
      <c r="G8" s="44"/>
    </row>
    <row r="9" spans="1:10" x14ac:dyDescent="0.3">
      <c r="A9" t="str">
        <f t="shared" si="0"/>
        <v>T008</v>
      </c>
      <c r="B9" s="48"/>
      <c r="C9" s="44"/>
      <c r="D9" s="44"/>
      <c r="E9" s="46"/>
      <c r="F9" s="44"/>
      <c r="G9" s="44"/>
    </row>
    <row r="10" spans="1:10" x14ac:dyDescent="0.3">
      <c r="A10" t="str">
        <f t="shared" si="0"/>
        <v>T009</v>
      </c>
      <c r="B10" s="48"/>
      <c r="C10" s="44"/>
      <c r="D10" s="44"/>
      <c r="E10" s="46"/>
      <c r="F10" s="44"/>
      <c r="G10" s="44"/>
    </row>
    <row r="11" spans="1:10" x14ac:dyDescent="0.3">
      <c r="A11" t="str">
        <f t="shared" si="0"/>
        <v>T010</v>
      </c>
      <c r="B11" s="48"/>
      <c r="C11" s="44"/>
      <c r="D11" s="44"/>
      <c r="E11" s="46"/>
      <c r="F11" s="44"/>
      <c r="G11" s="44"/>
    </row>
    <row r="12" spans="1:10" x14ac:dyDescent="0.3">
      <c r="A12" t="str">
        <f t="shared" si="0"/>
        <v>T011</v>
      </c>
      <c r="B12" s="48"/>
      <c r="C12" s="44"/>
      <c r="D12" s="44"/>
      <c r="E12" s="46"/>
      <c r="F12" s="44"/>
      <c r="G12" s="44"/>
    </row>
    <row r="13" spans="1:10" x14ac:dyDescent="0.3">
      <c r="A13" t="str">
        <f t="shared" si="0"/>
        <v>T012</v>
      </c>
      <c r="B13" s="48"/>
      <c r="C13" s="44"/>
      <c r="D13" s="44"/>
      <c r="E13" s="46"/>
      <c r="F13" s="44"/>
      <c r="G13" s="44"/>
    </row>
    <row r="14" spans="1:10" x14ac:dyDescent="0.3">
      <c r="A14" t="str">
        <f t="shared" si="0"/>
        <v>T013</v>
      </c>
      <c r="B14" s="48"/>
      <c r="C14" s="44"/>
      <c r="D14" s="44"/>
      <c r="E14" s="46"/>
      <c r="F14" s="44"/>
      <c r="G14" s="44"/>
    </row>
    <row r="15" spans="1:10" x14ac:dyDescent="0.3">
      <c r="A15" t="str">
        <f t="shared" si="0"/>
        <v>T014</v>
      </c>
      <c r="B15" s="48"/>
      <c r="C15" s="44"/>
      <c r="D15" s="44"/>
      <c r="E15" s="46"/>
      <c r="F15" s="44"/>
      <c r="G15" s="44"/>
    </row>
    <row r="16" spans="1:10" x14ac:dyDescent="0.3">
      <c r="A16" t="str">
        <f t="shared" si="0"/>
        <v>T015</v>
      </c>
      <c r="B16" s="48"/>
      <c r="C16" s="44"/>
      <c r="D16" s="44"/>
      <c r="E16" s="46"/>
      <c r="F16" s="44"/>
      <c r="G16" s="44"/>
    </row>
    <row r="17" spans="1:7" x14ac:dyDescent="0.3">
      <c r="A17" t="str">
        <f t="shared" si="0"/>
        <v>T016</v>
      </c>
      <c r="B17" s="48"/>
      <c r="C17" s="44"/>
      <c r="D17" s="44"/>
      <c r="E17" s="46"/>
      <c r="F17" s="44"/>
      <c r="G17" s="44"/>
    </row>
    <row r="18" spans="1:7" x14ac:dyDescent="0.3">
      <c r="A18" t="str">
        <f t="shared" si="0"/>
        <v>T017</v>
      </c>
      <c r="B18" s="48"/>
      <c r="C18" s="44"/>
      <c r="D18" s="44"/>
      <c r="E18" s="46"/>
      <c r="F18" s="44"/>
      <c r="G18" s="44"/>
    </row>
    <row r="19" spans="1:7" x14ac:dyDescent="0.3">
      <c r="A19" t="str">
        <f t="shared" si="0"/>
        <v>T018</v>
      </c>
      <c r="B19" s="48"/>
      <c r="C19" s="44"/>
      <c r="D19" s="44"/>
      <c r="E19" s="46"/>
      <c r="F19" s="44"/>
      <c r="G19" s="44"/>
    </row>
    <row r="20" spans="1:7" x14ac:dyDescent="0.3">
      <c r="A20" t="str">
        <f t="shared" si="0"/>
        <v>T019</v>
      </c>
      <c r="B20" s="48"/>
      <c r="C20" s="44"/>
      <c r="D20" s="44"/>
      <c r="E20" s="46"/>
      <c r="F20" s="44"/>
      <c r="G20" s="44"/>
    </row>
    <row r="21" spans="1:7" x14ac:dyDescent="0.3">
      <c r="A21" t="str">
        <f t="shared" si="0"/>
        <v>T020</v>
      </c>
      <c r="B21" s="48"/>
      <c r="C21" s="44"/>
      <c r="D21" s="44"/>
      <c r="E21" s="46"/>
      <c r="F21" s="44"/>
      <c r="G21" s="44"/>
    </row>
    <row r="22" spans="1:7" x14ac:dyDescent="0.3">
      <c r="A22" t="str">
        <f t="shared" si="0"/>
        <v>T021</v>
      </c>
      <c r="B22" s="48"/>
      <c r="C22" s="44"/>
      <c r="D22" s="44"/>
      <c r="E22" s="46"/>
      <c r="F22" s="44"/>
      <c r="G22" s="44"/>
    </row>
    <row r="23" spans="1:7" x14ac:dyDescent="0.3">
      <c r="A23" t="str">
        <f t="shared" si="0"/>
        <v>T022</v>
      </c>
      <c r="B23" s="48"/>
      <c r="C23" s="44"/>
      <c r="D23" s="44"/>
      <c r="E23" s="46"/>
      <c r="F23" s="44"/>
      <c r="G23" s="44"/>
    </row>
    <row r="24" spans="1:7" x14ac:dyDescent="0.3">
      <c r="A24" t="str">
        <f t="shared" si="0"/>
        <v>T023</v>
      </c>
      <c r="B24" s="48"/>
      <c r="C24" s="44"/>
      <c r="D24" s="44"/>
      <c r="E24" s="46"/>
      <c r="F24" s="44"/>
      <c r="G24" s="44"/>
    </row>
    <row r="25" spans="1:7" x14ac:dyDescent="0.3">
      <c r="A25" t="str">
        <f t="shared" si="0"/>
        <v>T024</v>
      </c>
      <c r="B25" s="48"/>
      <c r="C25" s="44"/>
      <c r="D25" s="44"/>
      <c r="E25" s="46"/>
      <c r="F25" s="44"/>
      <c r="G25" s="44"/>
    </row>
    <row r="26" spans="1:7" x14ac:dyDescent="0.3">
      <c r="A26" t="str">
        <f t="shared" si="0"/>
        <v>T025</v>
      </c>
      <c r="B26" s="48"/>
      <c r="C26" s="44"/>
      <c r="D26" s="44"/>
      <c r="E26" s="46"/>
      <c r="F26" s="44"/>
      <c r="G26" s="44"/>
    </row>
    <row r="27" spans="1:7" x14ac:dyDescent="0.3">
      <c r="A27" t="str">
        <f t="shared" si="0"/>
        <v>T026</v>
      </c>
      <c r="B27" s="48"/>
      <c r="C27" s="44"/>
      <c r="D27" s="44"/>
      <c r="E27" s="46"/>
      <c r="F27" s="44"/>
      <c r="G27" s="44"/>
    </row>
    <row r="28" spans="1:7" x14ac:dyDescent="0.3">
      <c r="A28" t="str">
        <f t="shared" si="0"/>
        <v>T027</v>
      </c>
      <c r="B28" s="48"/>
      <c r="C28" s="44"/>
      <c r="D28" s="44"/>
      <c r="E28" s="46"/>
      <c r="F28" s="44"/>
      <c r="G28" s="44"/>
    </row>
    <row r="29" spans="1:7" x14ac:dyDescent="0.3">
      <c r="A29" t="str">
        <f t="shared" si="0"/>
        <v>T028</v>
      </c>
      <c r="B29" s="48"/>
      <c r="C29" s="44"/>
      <c r="D29" s="44"/>
      <c r="E29" s="46"/>
      <c r="F29" s="44"/>
      <c r="G29" s="44"/>
    </row>
    <row r="30" spans="1:7" x14ac:dyDescent="0.3">
      <c r="A30" t="str">
        <f t="shared" si="0"/>
        <v>T029</v>
      </c>
      <c r="B30" s="48"/>
      <c r="C30" s="44"/>
      <c r="D30" s="44"/>
      <c r="E30" s="46"/>
      <c r="F30" s="44"/>
      <c r="G30" s="44"/>
    </row>
    <row r="31" spans="1:7" x14ac:dyDescent="0.3">
      <c r="A31" t="str">
        <f t="shared" si="0"/>
        <v>T030</v>
      </c>
      <c r="B31" s="48"/>
      <c r="C31" s="44"/>
      <c r="D31" s="44"/>
      <c r="E31" s="46"/>
      <c r="F31" s="44"/>
      <c r="G31" s="44"/>
    </row>
    <row r="32" spans="1:7" x14ac:dyDescent="0.3">
      <c r="A32" t="str">
        <f t="shared" si="0"/>
        <v>T031</v>
      </c>
      <c r="B32" s="48"/>
      <c r="C32" s="44"/>
      <c r="D32" s="44"/>
      <c r="E32" s="46"/>
      <c r="F32" s="44"/>
      <c r="G32" s="44"/>
    </row>
    <row r="33" spans="1:7" x14ac:dyDescent="0.3">
      <c r="A33" t="str">
        <f t="shared" si="0"/>
        <v>T032</v>
      </c>
      <c r="B33" s="48"/>
      <c r="C33" s="44"/>
      <c r="D33" s="44"/>
      <c r="E33" s="46"/>
      <c r="F33" s="44"/>
      <c r="G33" s="44"/>
    </row>
    <row r="34" spans="1:7" x14ac:dyDescent="0.3">
      <c r="A34" t="str">
        <f t="shared" si="0"/>
        <v>T033</v>
      </c>
      <c r="B34" s="48"/>
      <c r="C34" s="44"/>
      <c r="D34" s="44"/>
      <c r="E34" s="46"/>
      <c r="F34" s="44"/>
      <c r="G34" s="44"/>
    </row>
    <row r="35" spans="1:7" x14ac:dyDescent="0.3">
      <c r="A35" t="str">
        <f t="shared" si="0"/>
        <v>T034</v>
      </c>
      <c r="B35" s="48"/>
      <c r="C35" s="44"/>
      <c r="D35" s="44"/>
      <c r="E35" s="46"/>
      <c r="F35" s="44"/>
      <c r="G35" s="44"/>
    </row>
    <row r="36" spans="1:7" x14ac:dyDescent="0.3">
      <c r="A36" t="str">
        <f t="shared" si="0"/>
        <v>T035</v>
      </c>
      <c r="B36" s="48"/>
      <c r="C36" s="44"/>
      <c r="D36" s="44"/>
      <c r="E36" s="46"/>
      <c r="F36" s="44"/>
      <c r="G36" s="44"/>
    </row>
    <row r="37" spans="1:7" x14ac:dyDescent="0.3">
      <c r="A37" t="str">
        <f t="shared" si="0"/>
        <v>T036</v>
      </c>
      <c r="B37" s="48"/>
      <c r="C37" s="44"/>
      <c r="D37" s="44"/>
      <c r="E37" s="46"/>
      <c r="F37" s="44"/>
      <c r="G37" s="44"/>
    </row>
    <row r="38" spans="1:7" x14ac:dyDescent="0.3">
      <c r="A38" t="str">
        <f t="shared" si="0"/>
        <v>T037</v>
      </c>
      <c r="B38" s="48"/>
      <c r="C38" s="44"/>
      <c r="D38" s="44"/>
      <c r="E38" s="46"/>
      <c r="F38" s="44"/>
      <c r="G38" s="44"/>
    </row>
    <row r="39" spans="1:7" x14ac:dyDescent="0.3">
      <c r="A39" t="str">
        <f t="shared" si="0"/>
        <v>T038</v>
      </c>
      <c r="B39" s="48"/>
      <c r="C39" s="44"/>
      <c r="D39" s="44"/>
      <c r="E39" s="46"/>
      <c r="F39" s="44"/>
      <c r="G39" s="44"/>
    </row>
    <row r="40" spans="1:7" x14ac:dyDescent="0.3">
      <c r="A40" t="str">
        <f t="shared" si="0"/>
        <v>T039</v>
      </c>
      <c r="B40" s="48"/>
      <c r="C40" s="44"/>
      <c r="D40" s="44"/>
      <c r="E40" s="46"/>
      <c r="F40" s="44"/>
      <c r="G40" s="44"/>
    </row>
    <row r="41" spans="1:7" x14ac:dyDescent="0.3">
      <c r="A41" t="str">
        <f t="shared" si="0"/>
        <v>T040</v>
      </c>
      <c r="B41" s="48"/>
      <c r="C41" s="44"/>
      <c r="D41" s="44"/>
      <c r="E41" s="46"/>
      <c r="F41" s="44"/>
      <c r="G41" s="44"/>
    </row>
    <row r="42" spans="1:7" x14ac:dyDescent="0.3">
      <c r="A42" t="str">
        <f t="shared" si="0"/>
        <v>T041</v>
      </c>
      <c r="B42" s="48"/>
      <c r="C42" s="44"/>
      <c r="D42" s="44"/>
      <c r="E42" s="46"/>
      <c r="F42" s="44"/>
      <c r="G42" s="44"/>
    </row>
    <row r="43" spans="1:7" x14ac:dyDescent="0.3">
      <c r="A43" t="str">
        <f t="shared" si="0"/>
        <v>T042</v>
      </c>
      <c r="B43" s="48"/>
      <c r="C43" s="44"/>
      <c r="D43" s="44"/>
      <c r="E43" s="46"/>
      <c r="F43" s="44"/>
      <c r="G43" s="44"/>
    </row>
    <row r="44" spans="1:7" x14ac:dyDescent="0.3">
      <c r="A44" t="str">
        <f t="shared" si="0"/>
        <v>T043</v>
      </c>
      <c r="B44" s="48"/>
      <c r="C44" s="44"/>
      <c r="D44" s="44"/>
      <c r="E44" s="46"/>
      <c r="F44" s="44"/>
      <c r="G44" s="44"/>
    </row>
    <row r="45" spans="1:7" x14ac:dyDescent="0.3">
      <c r="A45" t="str">
        <f t="shared" si="0"/>
        <v>T044</v>
      </c>
      <c r="B45" s="48"/>
      <c r="C45" s="44"/>
      <c r="D45" s="44"/>
      <c r="E45" s="46"/>
      <c r="F45" s="44"/>
      <c r="G45" s="44"/>
    </row>
    <row r="46" spans="1:7" x14ac:dyDescent="0.3">
      <c r="A46" t="str">
        <f t="shared" si="0"/>
        <v>T045</v>
      </c>
      <c r="B46" s="48"/>
      <c r="C46" s="44"/>
      <c r="D46" s="44"/>
      <c r="E46" s="46"/>
      <c r="F46" s="44"/>
      <c r="G46" s="44"/>
    </row>
    <row r="47" spans="1:7" x14ac:dyDescent="0.3">
      <c r="A47" t="str">
        <f t="shared" si="0"/>
        <v>T046</v>
      </c>
      <c r="B47" s="48"/>
      <c r="C47" s="44"/>
      <c r="D47" s="44"/>
      <c r="E47" s="46"/>
      <c r="F47" s="44"/>
      <c r="G47" s="44"/>
    </row>
    <row r="48" spans="1:7" x14ac:dyDescent="0.3">
      <c r="A48" t="str">
        <f t="shared" si="0"/>
        <v>T047</v>
      </c>
      <c r="B48" s="48"/>
      <c r="C48" s="44"/>
      <c r="D48" s="44"/>
      <c r="E48" s="46"/>
      <c r="F48" s="44"/>
      <c r="G48" s="44"/>
    </row>
    <row r="49" spans="1:7" x14ac:dyDescent="0.3">
      <c r="A49" t="str">
        <f t="shared" si="0"/>
        <v>T048</v>
      </c>
      <c r="B49" s="48"/>
      <c r="C49" s="44"/>
      <c r="D49" s="44"/>
      <c r="E49" s="46"/>
      <c r="F49" s="44"/>
      <c r="G49" s="44"/>
    </row>
    <row r="50" spans="1:7" x14ac:dyDescent="0.3">
      <c r="A50" t="str">
        <f t="shared" si="0"/>
        <v>T049</v>
      </c>
      <c r="B50" s="48"/>
      <c r="C50" s="44"/>
      <c r="D50" s="44"/>
      <c r="E50" s="46"/>
      <c r="F50" s="44"/>
      <c r="G50" s="44"/>
    </row>
    <row r="51" spans="1:7" x14ac:dyDescent="0.3">
      <c r="A51" t="str">
        <f t="shared" si="0"/>
        <v>T050</v>
      </c>
      <c r="B51" s="48"/>
      <c r="C51" s="44"/>
      <c r="D51" s="44"/>
      <c r="E51" s="46"/>
      <c r="F51" s="44"/>
      <c r="G51" s="44"/>
    </row>
    <row r="52" spans="1:7" x14ac:dyDescent="0.3">
      <c r="A52" t="str">
        <f t="shared" si="0"/>
        <v>T051</v>
      </c>
      <c r="B52" s="48"/>
      <c r="C52" s="44"/>
      <c r="D52" s="44"/>
      <c r="E52" s="46"/>
      <c r="F52" s="44"/>
      <c r="G52" s="44"/>
    </row>
    <row r="53" spans="1:7" x14ac:dyDescent="0.3">
      <c r="A53" t="str">
        <f t="shared" si="0"/>
        <v>T052</v>
      </c>
      <c r="B53" s="48"/>
      <c r="C53" s="44"/>
      <c r="D53" s="44"/>
      <c r="E53" s="46"/>
      <c r="F53" s="44"/>
      <c r="G53" s="44"/>
    </row>
    <row r="54" spans="1:7" x14ac:dyDescent="0.3">
      <c r="A54" t="str">
        <f t="shared" si="0"/>
        <v>T053</v>
      </c>
      <c r="B54" s="48"/>
      <c r="C54" s="44"/>
      <c r="D54" s="44"/>
      <c r="E54" s="46"/>
      <c r="F54" s="44"/>
      <c r="G54" s="44"/>
    </row>
    <row r="55" spans="1:7" x14ac:dyDescent="0.3">
      <c r="A55" t="str">
        <f t="shared" si="0"/>
        <v>T054</v>
      </c>
      <c r="B55" s="48"/>
      <c r="C55" s="44"/>
      <c r="D55" s="44"/>
      <c r="E55" s="46"/>
      <c r="F55" s="44"/>
      <c r="G55" s="44"/>
    </row>
    <row r="56" spans="1:7" x14ac:dyDescent="0.3">
      <c r="A56" t="str">
        <f t="shared" si="0"/>
        <v>T055</v>
      </c>
      <c r="B56" s="48"/>
      <c r="C56" s="44"/>
      <c r="D56" s="44"/>
      <c r="E56" s="46"/>
      <c r="F56" s="44"/>
      <c r="G56" s="44"/>
    </row>
    <row r="57" spans="1:7" x14ac:dyDescent="0.3">
      <c r="A57" t="str">
        <f t="shared" si="0"/>
        <v>T056</v>
      </c>
      <c r="B57" s="48"/>
      <c r="C57" s="44"/>
      <c r="D57" s="44"/>
      <c r="E57" s="46"/>
      <c r="F57" s="44"/>
      <c r="G57" s="44"/>
    </row>
    <row r="58" spans="1:7" x14ac:dyDescent="0.3">
      <c r="A58" t="str">
        <f t="shared" si="0"/>
        <v>T057</v>
      </c>
      <c r="B58" s="48"/>
      <c r="C58" s="44"/>
      <c r="D58" s="44"/>
      <c r="E58" s="46"/>
      <c r="F58" s="44"/>
      <c r="G58" s="44"/>
    </row>
    <row r="59" spans="1:7" x14ac:dyDescent="0.3">
      <c r="A59" t="str">
        <f t="shared" si="0"/>
        <v>T058</v>
      </c>
      <c r="B59" s="48"/>
      <c r="C59" s="44"/>
      <c r="D59" s="44"/>
      <c r="E59" s="46"/>
      <c r="F59" s="44"/>
      <c r="G59" s="44"/>
    </row>
    <row r="60" spans="1:7" x14ac:dyDescent="0.3">
      <c r="A60" t="str">
        <f t="shared" si="0"/>
        <v>T059</v>
      </c>
      <c r="B60" s="48"/>
      <c r="C60" s="44"/>
      <c r="D60" s="44"/>
      <c r="E60" s="46"/>
      <c r="F60" s="44"/>
      <c r="G60" s="44"/>
    </row>
    <row r="61" spans="1:7" x14ac:dyDescent="0.3">
      <c r="A61" t="str">
        <f t="shared" si="0"/>
        <v>T060</v>
      </c>
      <c r="B61" s="48"/>
      <c r="C61" s="44"/>
      <c r="D61" s="44"/>
      <c r="E61" s="46"/>
      <c r="F61" s="44"/>
      <c r="G61" s="44"/>
    </row>
    <row r="62" spans="1:7" x14ac:dyDescent="0.3">
      <c r="A62" t="str">
        <f t="shared" si="0"/>
        <v>T061</v>
      </c>
      <c r="B62" s="48"/>
      <c r="C62" s="44"/>
      <c r="D62" s="44"/>
      <c r="E62" s="46"/>
      <c r="F62" s="44"/>
      <c r="G62" s="44"/>
    </row>
    <row r="63" spans="1:7" x14ac:dyDescent="0.3">
      <c r="A63" t="str">
        <f t="shared" si="0"/>
        <v>T062</v>
      </c>
      <c r="B63" s="48"/>
      <c r="C63" s="44"/>
      <c r="D63" s="44"/>
      <c r="E63" s="46"/>
      <c r="F63" s="44"/>
      <c r="G63" s="44"/>
    </row>
    <row r="64" spans="1:7" x14ac:dyDescent="0.3">
      <c r="A64" t="str">
        <f t="shared" si="0"/>
        <v>T063</v>
      </c>
      <c r="B64" s="48"/>
      <c r="C64" s="44"/>
      <c r="D64" s="44"/>
      <c r="E64" s="46"/>
      <c r="F64" s="44"/>
      <c r="G64" s="44"/>
    </row>
    <row r="65" spans="1:7" x14ac:dyDescent="0.3">
      <c r="A65" t="str">
        <f t="shared" si="0"/>
        <v>T064</v>
      </c>
      <c r="B65" s="48"/>
      <c r="C65" s="44"/>
      <c r="D65" s="44"/>
      <c r="E65" s="46"/>
      <c r="F65" s="44"/>
      <c r="G65" s="44"/>
    </row>
    <row r="66" spans="1:7" x14ac:dyDescent="0.3">
      <c r="A66" t="str">
        <f t="shared" ref="A66:A129" si="1">"T"&amp;TEXT(ROW()-1,"000")</f>
        <v>T065</v>
      </c>
      <c r="B66" s="48"/>
      <c r="C66" s="44"/>
      <c r="D66" s="44"/>
      <c r="E66" s="46"/>
      <c r="F66" s="44"/>
      <c r="G66" s="44"/>
    </row>
    <row r="67" spans="1:7" x14ac:dyDescent="0.3">
      <c r="A67" t="str">
        <f t="shared" si="1"/>
        <v>T066</v>
      </c>
      <c r="B67" s="48"/>
      <c r="C67" s="44"/>
      <c r="D67" s="44"/>
      <c r="E67" s="46"/>
      <c r="F67" s="44"/>
      <c r="G67" s="44"/>
    </row>
    <row r="68" spans="1:7" x14ac:dyDescent="0.3">
      <c r="A68" t="str">
        <f t="shared" si="1"/>
        <v>T067</v>
      </c>
      <c r="B68" s="48"/>
      <c r="C68" s="44"/>
      <c r="D68" s="44"/>
      <c r="E68" s="46"/>
      <c r="F68" s="44"/>
      <c r="G68" s="44"/>
    </row>
    <row r="69" spans="1:7" x14ac:dyDescent="0.3">
      <c r="A69" t="str">
        <f t="shared" si="1"/>
        <v>T068</v>
      </c>
      <c r="B69" s="48"/>
      <c r="C69" s="44"/>
      <c r="D69" s="44"/>
      <c r="E69" s="46"/>
      <c r="F69" s="44"/>
      <c r="G69" s="44"/>
    </row>
    <row r="70" spans="1:7" x14ac:dyDescent="0.3">
      <c r="A70" t="str">
        <f t="shared" si="1"/>
        <v>T069</v>
      </c>
      <c r="B70" s="48"/>
      <c r="C70" s="44"/>
      <c r="D70" s="44"/>
      <c r="E70" s="46"/>
      <c r="F70" s="44"/>
      <c r="G70" s="44"/>
    </row>
    <row r="71" spans="1:7" x14ac:dyDescent="0.3">
      <c r="A71" t="str">
        <f t="shared" si="1"/>
        <v>T070</v>
      </c>
      <c r="B71" s="48"/>
      <c r="C71" s="44"/>
      <c r="D71" s="44"/>
      <c r="E71" s="46"/>
      <c r="F71" s="44"/>
      <c r="G71" s="44"/>
    </row>
    <row r="72" spans="1:7" x14ac:dyDescent="0.3">
      <c r="A72" t="str">
        <f t="shared" si="1"/>
        <v>T071</v>
      </c>
      <c r="B72" s="48"/>
      <c r="C72" s="44"/>
      <c r="D72" s="44"/>
      <c r="E72" s="46"/>
      <c r="F72" s="44"/>
      <c r="G72" s="44"/>
    </row>
    <row r="73" spans="1:7" x14ac:dyDescent="0.3">
      <c r="A73" t="str">
        <f t="shared" si="1"/>
        <v>T072</v>
      </c>
      <c r="B73" s="48"/>
      <c r="C73" s="44"/>
      <c r="D73" s="44"/>
      <c r="E73" s="46"/>
      <c r="F73" s="44"/>
      <c r="G73" s="44"/>
    </row>
    <row r="74" spans="1:7" x14ac:dyDescent="0.3">
      <c r="A74" t="str">
        <f t="shared" si="1"/>
        <v>T073</v>
      </c>
      <c r="B74" s="48"/>
      <c r="C74" s="44"/>
      <c r="D74" s="44"/>
      <c r="E74" s="46"/>
      <c r="F74" s="44"/>
      <c r="G74" s="44"/>
    </row>
    <row r="75" spans="1:7" x14ac:dyDescent="0.3">
      <c r="A75" t="str">
        <f t="shared" si="1"/>
        <v>T074</v>
      </c>
      <c r="B75" s="48"/>
      <c r="C75" s="44"/>
      <c r="D75" s="44"/>
      <c r="E75" s="46"/>
      <c r="F75" s="44"/>
      <c r="G75" s="44"/>
    </row>
    <row r="76" spans="1:7" x14ac:dyDescent="0.3">
      <c r="A76" t="str">
        <f t="shared" si="1"/>
        <v>T075</v>
      </c>
      <c r="B76" s="48"/>
      <c r="C76" s="44"/>
      <c r="D76" s="44"/>
      <c r="E76" s="46"/>
      <c r="F76" s="44"/>
      <c r="G76" s="44"/>
    </row>
    <row r="77" spans="1:7" x14ac:dyDescent="0.3">
      <c r="A77" t="str">
        <f t="shared" si="1"/>
        <v>T076</v>
      </c>
      <c r="B77" s="48"/>
      <c r="C77" s="44"/>
      <c r="D77" s="44"/>
      <c r="E77" s="46"/>
      <c r="F77" s="44"/>
      <c r="G77" s="44"/>
    </row>
    <row r="78" spans="1:7" x14ac:dyDescent="0.3">
      <c r="A78" t="str">
        <f t="shared" si="1"/>
        <v>T077</v>
      </c>
      <c r="B78" s="48"/>
      <c r="C78" s="44"/>
      <c r="D78" s="44"/>
      <c r="E78" s="46"/>
      <c r="F78" s="44"/>
      <c r="G78" s="44"/>
    </row>
    <row r="79" spans="1:7" x14ac:dyDescent="0.3">
      <c r="A79" t="str">
        <f t="shared" si="1"/>
        <v>T078</v>
      </c>
      <c r="B79" s="48"/>
      <c r="C79" s="44"/>
      <c r="D79" s="44"/>
      <c r="E79" s="46"/>
      <c r="F79" s="44"/>
      <c r="G79" s="44"/>
    </row>
    <row r="80" spans="1:7" x14ac:dyDescent="0.3">
      <c r="A80" t="str">
        <f t="shared" si="1"/>
        <v>T079</v>
      </c>
      <c r="B80" s="48"/>
      <c r="C80" s="44"/>
      <c r="D80" s="44"/>
      <c r="E80" s="46"/>
      <c r="F80" s="44"/>
      <c r="G80" s="44"/>
    </row>
    <row r="81" spans="1:7" x14ac:dyDescent="0.3">
      <c r="A81" t="str">
        <f t="shared" si="1"/>
        <v>T080</v>
      </c>
      <c r="B81" s="48"/>
      <c r="C81" s="44"/>
      <c r="D81" s="44"/>
      <c r="E81" s="46"/>
      <c r="F81" s="44"/>
      <c r="G81" s="44"/>
    </row>
    <row r="82" spans="1:7" x14ac:dyDescent="0.3">
      <c r="A82" t="str">
        <f t="shared" si="1"/>
        <v>T081</v>
      </c>
      <c r="B82" s="48"/>
      <c r="C82" s="44"/>
      <c r="D82" s="44"/>
      <c r="E82" s="46"/>
      <c r="F82" s="44"/>
      <c r="G82" s="44"/>
    </row>
    <row r="83" spans="1:7" x14ac:dyDescent="0.3">
      <c r="A83" t="str">
        <f t="shared" si="1"/>
        <v>T082</v>
      </c>
      <c r="B83" s="48"/>
      <c r="C83" s="44"/>
      <c r="D83" s="44"/>
      <c r="E83" s="46"/>
      <c r="F83" s="44"/>
      <c r="G83" s="44"/>
    </row>
    <row r="84" spans="1:7" x14ac:dyDescent="0.3">
      <c r="A84" t="str">
        <f t="shared" si="1"/>
        <v>T083</v>
      </c>
      <c r="B84" s="48"/>
      <c r="C84" s="44"/>
      <c r="D84" s="44"/>
      <c r="E84" s="46"/>
      <c r="F84" s="44"/>
      <c r="G84" s="44"/>
    </row>
    <row r="85" spans="1:7" x14ac:dyDescent="0.3">
      <c r="A85" t="str">
        <f t="shared" si="1"/>
        <v>T084</v>
      </c>
      <c r="B85" s="48"/>
      <c r="C85" s="44"/>
      <c r="D85" s="44"/>
      <c r="E85" s="46"/>
      <c r="F85" s="44"/>
      <c r="G85" s="44"/>
    </row>
    <row r="86" spans="1:7" x14ac:dyDescent="0.3">
      <c r="A86" t="str">
        <f t="shared" si="1"/>
        <v>T085</v>
      </c>
      <c r="B86" s="48"/>
      <c r="C86" s="44"/>
      <c r="D86" s="44"/>
      <c r="E86" s="46"/>
      <c r="F86" s="44"/>
      <c r="G86" s="44"/>
    </row>
    <row r="87" spans="1:7" x14ac:dyDescent="0.3">
      <c r="A87" t="str">
        <f t="shared" si="1"/>
        <v>T086</v>
      </c>
      <c r="B87" s="48"/>
      <c r="C87" s="44"/>
      <c r="D87" s="44"/>
      <c r="E87" s="46"/>
      <c r="F87" s="44"/>
      <c r="G87" s="44"/>
    </row>
    <row r="88" spans="1:7" x14ac:dyDescent="0.3">
      <c r="A88" t="str">
        <f t="shared" si="1"/>
        <v>T087</v>
      </c>
      <c r="B88" s="48"/>
      <c r="C88" s="44"/>
      <c r="D88" s="44"/>
      <c r="E88" s="46"/>
      <c r="F88" s="44"/>
      <c r="G88" s="44"/>
    </row>
    <row r="89" spans="1:7" x14ac:dyDescent="0.3">
      <c r="A89" t="str">
        <f t="shared" si="1"/>
        <v>T088</v>
      </c>
      <c r="B89" s="48"/>
      <c r="C89" s="44"/>
      <c r="D89" s="44"/>
      <c r="E89" s="46"/>
      <c r="F89" s="44"/>
      <c r="G89" s="44"/>
    </row>
    <row r="90" spans="1:7" x14ac:dyDescent="0.3">
      <c r="A90" t="str">
        <f t="shared" si="1"/>
        <v>T089</v>
      </c>
      <c r="B90" s="48"/>
      <c r="C90" s="44"/>
      <c r="D90" s="44"/>
      <c r="E90" s="46"/>
      <c r="F90" s="44"/>
      <c r="G90" s="44"/>
    </row>
    <row r="91" spans="1:7" x14ac:dyDescent="0.3">
      <c r="A91" t="str">
        <f t="shared" si="1"/>
        <v>T090</v>
      </c>
      <c r="B91" s="48"/>
      <c r="C91" s="44"/>
      <c r="D91" s="44"/>
      <c r="E91" s="46"/>
      <c r="F91" s="44"/>
      <c r="G91" s="44"/>
    </row>
    <row r="92" spans="1:7" x14ac:dyDescent="0.3">
      <c r="A92" t="str">
        <f t="shared" si="1"/>
        <v>T091</v>
      </c>
      <c r="B92" s="48"/>
      <c r="C92" s="44"/>
      <c r="D92" s="44"/>
      <c r="E92" s="46"/>
      <c r="F92" s="44"/>
      <c r="G92" s="44"/>
    </row>
    <row r="93" spans="1:7" x14ac:dyDescent="0.3">
      <c r="A93" t="str">
        <f t="shared" si="1"/>
        <v>T092</v>
      </c>
      <c r="B93" s="48"/>
      <c r="C93" s="44"/>
      <c r="D93" s="44"/>
      <c r="E93" s="46"/>
      <c r="F93" s="44"/>
      <c r="G93" s="44"/>
    </row>
    <row r="94" spans="1:7" x14ac:dyDescent="0.3">
      <c r="A94" t="str">
        <f t="shared" si="1"/>
        <v>T093</v>
      </c>
      <c r="B94" s="48"/>
      <c r="C94" s="44"/>
      <c r="D94" s="44"/>
      <c r="E94" s="46"/>
      <c r="F94" s="44"/>
      <c r="G94" s="44"/>
    </row>
    <row r="95" spans="1:7" x14ac:dyDescent="0.3">
      <c r="A95" t="str">
        <f t="shared" si="1"/>
        <v>T094</v>
      </c>
      <c r="B95" s="48"/>
      <c r="C95" s="44"/>
      <c r="D95" s="44"/>
      <c r="E95" s="46"/>
      <c r="F95" s="44"/>
      <c r="G95" s="44"/>
    </row>
    <row r="96" spans="1:7" x14ac:dyDescent="0.3">
      <c r="A96" t="str">
        <f t="shared" si="1"/>
        <v>T095</v>
      </c>
      <c r="B96" s="48"/>
      <c r="C96" s="44"/>
      <c r="D96" s="44"/>
      <c r="E96" s="46"/>
      <c r="F96" s="44"/>
      <c r="G96" s="44"/>
    </row>
    <row r="97" spans="1:7" x14ac:dyDescent="0.3">
      <c r="A97" t="str">
        <f t="shared" si="1"/>
        <v>T096</v>
      </c>
      <c r="B97" s="48"/>
      <c r="C97" s="44"/>
      <c r="D97" s="44"/>
      <c r="E97" s="46"/>
      <c r="F97" s="44"/>
      <c r="G97" s="44"/>
    </row>
    <row r="98" spans="1:7" x14ac:dyDescent="0.3">
      <c r="A98" t="str">
        <f t="shared" si="1"/>
        <v>T097</v>
      </c>
      <c r="B98" s="48"/>
      <c r="C98" s="44"/>
      <c r="D98" s="44"/>
      <c r="E98" s="46"/>
      <c r="F98" s="44"/>
      <c r="G98" s="44"/>
    </row>
    <row r="99" spans="1:7" x14ac:dyDescent="0.3">
      <c r="A99" t="str">
        <f t="shared" si="1"/>
        <v>T098</v>
      </c>
      <c r="B99" s="48"/>
      <c r="C99" s="44"/>
      <c r="D99" s="44"/>
      <c r="E99" s="46"/>
      <c r="F99" s="44"/>
      <c r="G99" s="44"/>
    </row>
    <row r="100" spans="1:7" x14ac:dyDescent="0.3">
      <c r="A100" t="str">
        <f t="shared" si="1"/>
        <v>T099</v>
      </c>
      <c r="B100" s="48"/>
      <c r="C100" s="44"/>
      <c r="D100" s="44"/>
      <c r="E100" s="46"/>
      <c r="F100" s="44"/>
      <c r="G100" s="44"/>
    </row>
    <row r="101" spans="1:7" x14ac:dyDescent="0.3">
      <c r="A101" t="str">
        <f t="shared" si="1"/>
        <v>T100</v>
      </c>
      <c r="B101" s="48"/>
      <c r="C101" s="44"/>
      <c r="D101" s="44"/>
      <c r="E101" s="46"/>
      <c r="F101" s="44"/>
      <c r="G101" s="44"/>
    </row>
    <row r="102" spans="1:7" x14ac:dyDescent="0.3">
      <c r="A102" t="str">
        <f t="shared" si="1"/>
        <v>T101</v>
      </c>
      <c r="B102" s="48"/>
      <c r="C102" s="44"/>
      <c r="D102" s="44"/>
      <c r="E102" s="46"/>
      <c r="F102" s="44"/>
      <c r="G102" s="44"/>
    </row>
    <row r="103" spans="1:7" x14ac:dyDescent="0.3">
      <c r="A103" t="str">
        <f t="shared" si="1"/>
        <v>T102</v>
      </c>
      <c r="B103" s="48"/>
      <c r="C103" s="44"/>
      <c r="D103" s="44"/>
      <c r="E103" s="46"/>
      <c r="F103" s="44"/>
      <c r="G103" s="44"/>
    </row>
    <row r="104" spans="1:7" x14ac:dyDescent="0.3">
      <c r="A104" t="str">
        <f t="shared" si="1"/>
        <v>T103</v>
      </c>
      <c r="B104" s="48"/>
      <c r="C104" s="44"/>
      <c r="D104" s="44"/>
      <c r="E104" s="46"/>
      <c r="F104" s="44"/>
      <c r="G104" s="44"/>
    </row>
    <row r="105" spans="1:7" x14ac:dyDescent="0.3">
      <c r="A105" t="str">
        <f t="shared" si="1"/>
        <v>T104</v>
      </c>
      <c r="B105" s="48"/>
      <c r="C105" s="44"/>
      <c r="D105" s="44"/>
      <c r="E105" s="46"/>
      <c r="F105" s="44"/>
      <c r="G105" s="44"/>
    </row>
    <row r="106" spans="1:7" x14ac:dyDescent="0.3">
      <c r="A106" t="str">
        <f t="shared" si="1"/>
        <v>T105</v>
      </c>
      <c r="B106" s="48"/>
      <c r="C106" s="44"/>
      <c r="D106" s="44"/>
      <c r="E106" s="46"/>
      <c r="F106" s="44"/>
      <c r="G106" s="44"/>
    </row>
    <row r="107" spans="1:7" x14ac:dyDescent="0.3">
      <c r="A107" t="str">
        <f t="shared" si="1"/>
        <v>T106</v>
      </c>
      <c r="B107" s="48"/>
      <c r="C107" s="44"/>
      <c r="D107" s="44"/>
      <c r="E107" s="46"/>
      <c r="F107" s="44"/>
      <c r="G107" s="44"/>
    </row>
    <row r="108" spans="1:7" x14ac:dyDescent="0.3">
      <c r="A108" t="str">
        <f t="shared" si="1"/>
        <v>T107</v>
      </c>
      <c r="B108" s="48"/>
      <c r="C108" s="44"/>
      <c r="D108" s="44"/>
      <c r="E108" s="46"/>
      <c r="F108" s="44"/>
      <c r="G108" s="44"/>
    </row>
    <row r="109" spans="1:7" x14ac:dyDescent="0.3">
      <c r="A109" t="str">
        <f t="shared" si="1"/>
        <v>T108</v>
      </c>
      <c r="B109" s="48"/>
      <c r="C109" s="44"/>
      <c r="D109" s="44"/>
      <c r="E109" s="46"/>
      <c r="F109" s="44"/>
      <c r="G109" s="44"/>
    </row>
    <row r="110" spans="1:7" x14ac:dyDescent="0.3">
      <c r="A110" t="str">
        <f t="shared" si="1"/>
        <v>T109</v>
      </c>
      <c r="B110" s="48"/>
      <c r="C110" s="44"/>
      <c r="D110" s="44"/>
      <c r="E110" s="46"/>
      <c r="F110" s="44"/>
      <c r="G110" s="44"/>
    </row>
    <row r="111" spans="1:7" x14ac:dyDescent="0.3">
      <c r="A111" t="str">
        <f t="shared" si="1"/>
        <v>T110</v>
      </c>
      <c r="B111" s="48"/>
      <c r="C111" s="44"/>
      <c r="D111" s="44"/>
      <c r="E111" s="46"/>
      <c r="F111" s="44"/>
      <c r="G111" s="44"/>
    </row>
    <row r="112" spans="1:7" x14ac:dyDescent="0.3">
      <c r="A112" t="str">
        <f t="shared" si="1"/>
        <v>T111</v>
      </c>
      <c r="B112" s="48"/>
      <c r="C112" s="44"/>
      <c r="D112" s="44"/>
      <c r="E112" s="46"/>
      <c r="F112" s="44"/>
      <c r="G112" s="44"/>
    </row>
    <row r="113" spans="1:7" x14ac:dyDescent="0.3">
      <c r="A113" t="str">
        <f t="shared" si="1"/>
        <v>T112</v>
      </c>
      <c r="B113" s="48"/>
      <c r="C113" s="44"/>
      <c r="D113" s="44"/>
      <c r="E113" s="46"/>
      <c r="F113" s="44"/>
      <c r="G113" s="44"/>
    </row>
    <row r="114" spans="1:7" x14ac:dyDescent="0.3">
      <c r="A114" t="str">
        <f t="shared" si="1"/>
        <v>T113</v>
      </c>
      <c r="B114" s="48"/>
      <c r="C114" s="44"/>
      <c r="D114" s="44"/>
      <c r="E114" s="46"/>
      <c r="F114" s="44"/>
      <c r="G114" s="44"/>
    </row>
    <row r="115" spans="1:7" x14ac:dyDescent="0.3">
      <c r="A115" t="str">
        <f t="shared" si="1"/>
        <v>T114</v>
      </c>
      <c r="B115" s="48"/>
      <c r="C115" s="44"/>
      <c r="D115" s="44"/>
      <c r="E115" s="46"/>
      <c r="F115" s="44"/>
      <c r="G115" s="44"/>
    </row>
    <row r="116" spans="1:7" x14ac:dyDescent="0.3">
      <c r="A116" t="str">
        <f t="shared" si="1"/>
        <v>T115</v>
      </c>
      <c r="B116" s="48"/>
      <c r="C116" s="44"/>
      <c r="D116" s="44"/>
      <c r="E116" s="46"/>
      <c r="F116" s="44"/>
      <c r="G116" s="44"/>
    </row>
    <row r="117" spans="1:7" x14ac:dyDescent="0.3">
      <c r="A117" t="str">
        <f t="shared" si="1"/>
        <v>T116</v>
      </c>
      <c r="B117" s="48"/>
      <c r="C117" s="44"/>
      <c r="D117" s="44"/>
      <c r="E117" s="46"/>
      <c r="F117" s="44"/>
      <c r="G117" s="44"/>
    </row>
    <row r="118" spans="1:7" x14ac:dyDescent="0.3">
      <c r="A118" t="str">
        <f t="shared" si="1"/>
        <v>T117</v>
      </c>
      <c r="B118" s="48"/>
      <c r="C118" s="44"/>
      <c r="D118" s="44"/>
      <c r="E118" s="46"/>
      <c r="F118" s="44"/>
      <c r="G118" s="44"/>
    </row>
    <row r="119" spans="1:7" x14ac:dyDescent="0.3">
      <c r="A119" t="str">
        <f t="shared" si="1"/>
        <v>T118</v>
      </c>
      <c r="B119" s="48"/>
      <c r="C119" s="44"/>
      <c r="D119" s="44"/>
      <c r="E119" s="46"/>
      <c r="F119" s="44"/>
      <c r="G119" s="44"/>
    </row>
    <row r="120" spans="1:7" x14ac:dyDescent="0.3">
      <c r="A120" t="str">
        <f t="shared" si="1"/>
        <v>T119</v>
      </c>
      <c r="B120" s="48"/>
      <c r="C120" s="44"/>
      <c r="D120" s="44"/>
      <c r="E120" s="46"/>
      <c r="F120" s="44"/>
      <c r="G120" s="44"/>
    </row>
    <row r="121" spans="1:7" x14ac:dyDescent="0.3">
      <c r="A121" t="str">
        <f t="shared" si="1"/>
        <v>T120</v>
      </c>
      <c r="B121" s="48"/>
      <c r="C121" s="44"/>
      <c r="D121" s="44"/>
      <c r="E121" s="46"/>
      <c r="F121" s="44"/>
      <c r="G121" s="44"/>
    </row>
    <row r="122" spans="1:7" x14ac:dyDescent="0.3">
      <c r="A122" t="str">
        <f t="shared" si="1"/>
        <v>T121</v>
      </c>
      <c r="B122" s="48"/>
      <c r="C122" s="44"/>
      <c r="D122" s="44"/>
      <c r="E122" s="46"/>
      <c r="F122" s="44"/>
      <c r="G122" s="44"/>
    </row>
    <row r="123" spans="1:7" x14ac:dyDescent="0.3">
      <c r="A123" t="str">
        <f t="shared" si="1"/>
        <v>T122</v>
      </c>
      <c r="B123" s="48"/>
      <c r="C123" s="44"/>
      <c r="D123" s="44"/>
      <c r="E123" s="46"/>
      <c r="F123" s="44"/>
      <c r="G123" s="44"/>
    </row>
    <row r="124" spans="1:7" x14ac:dyDescent="0.3">
      <c r="A124" t="str">
        <f t="shared" si="1"/>
        <v>T123</v>
      </c>
      <c r="B124" s="48"/>
      <c r="C124" s="44"/>
      <c r="D124" s="44"/>
      <c r="E124" s="46"/>
      <c r="F124" s="44"/>
      <c r="G124" s="44"/>
    </row>
    <row r="125" spans="1:7" x14ac:dyDescent="0.3">
      <c r="A125" t="str">
        <f t="shared" si="1"/>
        <v>T124</v>
      </c>
      <c r="B125" s="48"/>
      <c r="C125" s="44"/>
      <c r="D125" s="44"/>
      <c r="E125" s="46"/>
      <c r="F125" s="44"/>
      <c r="G125" s="44"/>
    </row>
    <row r="126" spans="1:7" x14ac:dyDescent="0.3">
      <c r="A126" t="str">
        <f t="shared" si="1"/>
        <v>T125</v>
      </c>
      <c r="B126" s="48"/>
      <c r="C126" s="44"/>
      <c r="D126" s="44"/>
      <c r="E126" s="46"/>
      <c r="F126" s="44"/>
      <c r="G126" s="44"/>
    </row>
    <row r="127" spans="1:7" x14ac:dyDescent="0.3">
      <c r="A127" t="str">
        <f t="shared" si="1"/>
        <v>T126</v>
      </c>
      <c r="B127" s="48"/>
      <c r="C127" s="44"/>
      <c r="D127" s="44"/>
      <c r="E127" s="46"/>
      <c r="F127" s="44"/>
      <c r="G127" s="44"/>
    </row>
    <row r="128" spans="1:7" x14ac:dyDescent="0.3">
      <c r="A128" t="str">
        <f t="shared" si="1"/>
        <v>T127</v>
      </c>
      <c r="B128" s="48"/>
      <c r="C128" s="44"/>
      <c r="D128" s="44"/>
      <c r="E128" s="46"/>
      <c r="F128" s="44"/>
      <c r="G128" s="44"/>
    </row>
    <row r="129" spans="1:7" x14ac:dyDescent="0.3">
      <c r="A129" t="str">
        <f t="shared" si="1"/>
        <v>T128</v>
      </c>
      <c r="B129" s="48"/>
      <c r="C129" s="44"/>
      <c r="D129" s="44"/>
      <c r="E129" s="46"/>
      <c r="F129" s="44"/>
      <c r="G129" s="44"/>
    </row>
    <row r="130" spans="1:7" x14ac:dyDescent="0.3">
      <c r="A130" t="str">
        <f t="shared" ref="A130:A193" si="2">"T"&amp;TEXT(ROW()-1,"000")</f>
        <v>T129</v>
      </c>
      <c r="B130" s="48"/>
      <c r="C130" s="44"/>
      <c r="D130" s="44"/>
      <c r="E130" s="46"/>
      <c r="F130" s="44"/>
      <c r="G130" s="44"/>
    </row>
    <row r="131" spans="1:7" x14ac:dyDescent="0.3">
      <c r="A131" t="str">
        <f t="shared" si="2"/>
        <v>T130</v>
      </c>
      <c r="B131" s="48"/>
      <c r="C131" s="44"/>
      <c r="D131" s="44"/>
      <c r="E131" s="46"/>
      <c r="F131" s="44"/>
      <c r="G131" s="44"/>
    </row>
    <row r="132" spans="1:7" x14ac:dyDescent="0.3">
      <c r="A132" t="str">
        <f t="shared" si="2"/>
        <v>T131</v>
      </c>
      <c r="B132" s="48"/>
      <c r="C132" s="44"/>
      <c r="D132" s="44"/>
      <c r="E132" s="46"/>
      <c r="F132" s="44"/>
      <c r="G132" s="44"/>
    </row>
    <row r="133" spans="1:7" x14ac:dyDescent="0.3">
      <c r="A133" t="str">
        <f t="shared" si="2"/>
        <v>T132</v>
      </c>
      <c r="B133" s="48"/>
      <c r="C133" s="44"/>
      <c r="D133" s="44"/>
      <c r="E133" s="46"/>
      <c r="F133" s="44"/>
      <c r="G133" s="44"/>
    </row>
    <row r="134" spans="1:7" x14ac:dyDescent="0.3">
      <c r="A134" t="str">
        <f t="shared" si="2"/>
        <v>T133</v>
      </c>
      <c r="B134" s="48"/>
      <c r="C134" s="44"/>
      <c r="D134" s="44"/>
      <c r="E134" s="46"/>
      <c r="F134" s="44"/>
      <c r="G134" s="44"/>
    </row>
    <row r="135" spans="1:7" x14ac:dyDescent="0.3">
      <c r="A135" t="str">
        <f t="shared" si="2"/>
        <v>T134</v>
      </c>
      <c r="B135" s="48"/>
      <c r="C135" s="44"/>
      <c r="D135" s="44"/>
      <c r="E135" s="46"/>
      <c r="F135" s="44"/>
      <c r="G135" s="44"/>
    </row>
    <row r="136" spans="1:7" x14ac:dyDescent="0.3">
      <c r="A136" t="str">
        <f t="shared" si="2"/>
        <v>T135</v>
      </c>
      <c r="B136" s="48"/>
      <c r="C136" s="44"/>
      <c r="D136" s="44"/>
      <c r="E136" s="46"/>
      <c r="F136" s="44"/>
      <c r="G136" s="44"/>
    </row>
    <row r="137" spans="1:7" x14ac:dyDescent="0.3">
      <c r="A137" t="str">
        <f t="shared" si="2"/>
        <v>T136</v>
      </c>
      <c r="B137" s="48"/>
      <c r="C137" s="44"/>
      <c r="D137" s="44"/>
      <c r="E137" s="46"/>
      <c r="F137" s="44"/>
      <c r="G137" s="44"/>
    </row>
    <row r="138" spans="1:7" x14ac:dyDescent="0.3">
      <c r="A138" t="str">
        <f t="shared" si="2"/>
        <v>T137</v>
      </c>
      <c r="B138" s="48"/>
      <c r="C138" s="44"/>
      <c r="D138" s="44"/>
      <c r="E138" s="46"/>
      <c r="F138" s="44"/>
      <c r="G138" s="44"/>
    </row>
    <row r="139" spans="1:7" x14ac:dyDescent="0.3">
      <c r="A139" t="str">
        <f t="shared" si="2"/>
        <v>T138</v>
      </c>
      <c r="B139" s="48"/>
      <c r="C139" s="44"/>
      <c r="D139" s="44"/>
      <c r="E139" s="46"/>
      <c r="F139" s="44"/>
      <c r="G139" s="44"/>
    </row>
    <row r="140" spans="1:7" x14ac:dyDescent="0.3">
      <c r="A140" t="str">
        <f t="shared" si="2"/>
        <v>T139</v>
      </c>
      <c r="B140" s="48"/>
      <c r="C140" s="44"/>
      <c r="D140" s="44"/>
      <c r="E140" s="46"/>
      <c r="F140" s="44"/>
      <c r="G140" s="44"/>
    </row>
    <row r="141" spans="1:7" x14ac:dyDescent="0.3">
      <c r="A141" t="str">
        <f t="shared" si="2"/>
        <v>T140</v>
      </c>
      <c r="B141" s="48"/>
      <c r="C141" s="44"/>
      <c r="D141" s="44"/>
      <c r="E141" s="46"/>
      <c r="F141" s="44"/>
      <c r="G141" s="44"/>
    </row>
    <row r="142" spans="1:7" x14ac:dyDescent="0.3">
      <c r="A142" t="str">
        <f t="shared" si="2"/>
        <v>T141</v>
      </c>
      <c r="B142" s="48"/>
      <c r="C142" s="44"/>
      <c r="D142" s="44"/>
      <c r="E142" s="46"/>
      <c r="F142" s="44"/>
      <c r="G142" s="44"/>
    </row>
    <row r="143" spans="1:7" x14ac:dyDescent="0.3">
      <c r="A143" t="str">
        <f t="shared" si="2"/>
        <v>T142</v>
      </c>
      <c r="B143" s="48"/>
      <c r="C143" s="44"/>
      <c r="D143" s="44"/>
      <c r="E143" s="46"/>
      <c r="F143" s="44"/>
      <c r="G143" s="44"/>
    </row>
    <row r="144" spans="1:7" x14ac:dyDescent="0.3">
      <c r="A144" t="str">
        <f t="shared" si="2"/>
        <v>T143</v>
      </c>
      <c r="B144" s="48"/>
      <c r="C144" s="44"/>
      <c r="D144" s="44"/>
      <c r="E144" s="46"/>
      <c r="F144" s="44"/>
      <c r="G144" s="44"/>
    </row>
    <row r="145" spans="1:7" x14ac:dyDescent="0.3">
      <c r="A145" t="str">
        <f t="shared" si="2"/>
        <v>T144</v>
      </c>
      <c r="B145" s="48"/>
      <c r="C145" s="44"/>
      <c r="D145" s="44"/>
      <c r="E145" s="46"/>
      <c r="F145" s="44"/>
      <c r="G145" s="44"/>
    </row>
    <row r="146" spans="1:7" x14ac:dyDescent="0.3">
      <c r="A146" t="str">
        <f t="shared" si="2"/>
        <v>T145</v>
      </c>
      <c r="B146" s="48"/>
      <c r="C146" s="44"/>
      <c r="D146" s="44"/>
      <c r="E146" s="46"/>
      <c r="F146" s="44"/>
      <c r="G146" s="44"/>
    </row>
    <row r="147" spans="1:7" x14ac:dyDescent="0.3">
      <c r="A147" t="str">
        <f t="shared" si="2"/>
        <v>T146</v>
      </c>
      <c r="B147" s="48"/>
      <c r="C147" s="44"/>
      <c r="D147" s="44"/>
      <c r="E147" s="46"/>
      <c r="F147" s="44"/>
      <c r="G147" s="44"/>
    </row>
    <row r="148" spans="1:7" x14ac:dyDescent="0.3">
      <c r="A148" t="str">
        <f t="shared" si="2"/>
        <v>T147</v>
      </c>
      <c r="B148" s="48"/>
      <c r="C148" s="44"/>
      <c r="D148" s="44"/>
      <c r="E148" s="46"/>
      <c r="F148" s="44"/>
      <c r="G148" s="44"/>
    </row>
    <row r="149" spans="1:7" x14ac:dyDescent="0.3">
      <c r="A149" t="str">
        <f t="shared" si="2"/>
        <v>T148</v>
      </c>
      <c r="B149" s="48"/>
      <c r="C149" s="44"/>
      <c r="D149" s="44"/>
      <c r="E149" s="46"/>
      <c r="F149" s="44"/>
      <c r="G149" s="44"/>
    </row>
    <row r="150" spans="1:7" x14ac:dyDescent="0.3">
      <c r="A150" t="str">
        <f t="shared" si="2"/>
        <v>T149</v>
      </c>
      <c r="B150" s="48"/>
      <c r="C150" s="44"/>
      <c r="D150" s="44"/>
      <c r="E150" s="46"/>
      <c r="F150" s="44"/>
      <c r="G150" s="44"/>
    </row>
    <row r="151" spans="1:7" x14ac:dyDescent="0.3">
      <c r="A151" t="str">
        <f t="shared" si="2"/>
        <v>T150</v>
      </c>
      <c r="B151" s="48"/>
      <c r="C151" s="44"/>
      <c r="D151" s="44"/>
      <c r="E151" s="46"/>
      <c r="F151" s="44"/>
      <c r="G151" s="44"/>
    </row>
    <row r="152" spans="1:7" x14ac:dyDescent="0.3">
      <c r="A152" t="str">
        <f t="shared" si="2"/>
        <v>T151</v>
      </c>
      <c r="B152" s="48"/>
      <c r="C152" s="44"/>
      <c r="D152" s="44"/>
      <c r="E152" s="46"/>
      <c r="F152" s="44"/>
      <c r="G152" s="44"/>
    </row>
    <row r="153" spans="1:7" x14ac:dyDescent="0.3">
      <c r="A153" t="str">
        <f t="shared" si="2"/>
        <v>T152</v>
      </c>
      <c r="B153" s="48"/>
      <c r="C153" s="44"/>
      <c r="D153" s="44"/>
      <c r="E153" s="46"/>
      <c r="F153" s="44"/>
      <c r="G153" s="44"/>
    </row>
    <row r="154" spans="1:7" x14ac:dyDescent="0.3">
      <c r="A154" t="str">
        <f t="shared" si="2"/>
        <v>T153</v>
      </c>
      <c r="B154" s="48"/>
      <c r="C154" s="44"/>
      <c r="D154" s="44"/>
      <c r="E154" s="46"/>
      <c r="F154" s="44"/>
      <c r="G154" s="44"/>
    </row>
    <row r="155" spans="1:7" x14ac:dyDescent="0.3">
      <c r="A155" t="str">
        <f t="shared" si="2"/>
        <v>T154</v>
      </c>
      <c r="B155" s="48"/>
      <c r="C155" s="44"/>
      <c r="D155" s="44"/>
      <c r="E155" s="46"/>
      <c r="F155" s="44"/>
      <c r="G155" s="44"/>
    </row>
    <row r="156" spans="1:7" x14ac:dyDescent="0.3">
      <c r="A156" t="str">
        <f t="shared" si="2"/>
        <v>T155</v>
      </c>
      <c r="B156" s="48"/>
      <c r="C156" s="44"/>
      <c r="D156" s="44"/>
      <c r="E156" s="46"/>
      <c r="F156" s="44"/>
      <c r="G156" s="44"/>
    </row>
    <row r="157" spans="1:7" x14ac:dyDescent="0.3">
      <c r="A157" t="str">
        <f t="shared" si="2"/>
        <v>T156</v>
      </c>
      <c r="B157" s="48"/>
      <c r="C157" s="44"/>
      <c r="D157" s="44"/>
      <c r="E157" s="46"/>
      <c r="F157" s="44"/>
      <c r="G157" s="44"/>
    </row>
    <row r="158" spans="1:7" x14ac:dyDescent="0.3">
      <c r="A158" t="str">
        <f t="shared" si="2"/>
        <v>T157</v>
      </c>
      <c r="B158" s="48"/>
      <c r="C158" s="44"/>
      <c r="D158" s="44"/>
      <c r="E158" s="46"/>
      <c r="F158" s="44"/>
      <c r="G158" s="44"/>
    </row>
    <row r="159" spans="1:7" x14ac:dyDescent="0.3">
      <c r="A159" t="str">
        <f t="shared" si="2"/>
        <v>T158</v>
      </c>
      <c r="B159" s="48"/>
      <c r="C159" s="44"/>
      <c r="D159" s="44"/>
      <c r="E159" s="46"/>
      <c r="F159" s="44"/>
      <c r="G159" s="44"/>
    </row>
    <row r="160" spans="1:7" x14ac:dyDescent="0.3">
      <c r="A160" t="str">
        <f t="shared" si="2"/>
        <v>T159</v>
      </c>
      <c r="B160" s="48"/>
      <c r="C160" s="44"/>
      <c r="D160" s="44"/>
      <c r="E160" s="46"/>
      <c r="F160" s="44"/>
      <c r="G160" s="44"/>
    </row>
    <row r="161" spans="1:7" x14ac:dyDescent="0.3">
      <c r="A161" t="str">
        <f t="shared" si="2"/>
        <v>T160</v>
      </c>
      <c r="B161" s="48"/>
      <c r="C161" s="44"/>
      <c r="D161" s="44"/>
      <c r="E161" s="46"/>
      <c r="F161" s="44"/>
      <c r="G161" s="44"/>
    </row>
    <row r="162" spans="1:7" x14ac:dyDescent="0.3">
      <c r="A162" t="str">
        <f t="shared" si="2"/>
        <v>T161</v>
      </c>
      <c r="B162" s="48"/>
      <c r="C162" s="44"/>
      <c r="D162" s="44"/>
      <c r="E162" s="46"/>
      <c r="F162" s="44"/>
      <c r="G162" s="44"/>
    </row>
    <row r="163" spans="1:7" x14ac:dyDescent="0.3">
      <c r="A163" t="str">
        <f t="shared" si="2"/>
        <v>T162</v>
      </c>
      <c r="B163" s="48"/>
      <c r="C163" s="44"/>
      <c r="D163" s="44"/>
      <c r="E163" s="46"/>
      <c r="F163" s="44"/>
      <c r="G163" s="44"/>
    </row>
    <row r="164" spans="1:7" x14ac:dyDescent="0.3">
      <c r="A164" t="str">
        <f t="shared" si="2"/>
        <v>T163</v>
      </c>
      <c r="B164" s="48"/>
      <c r="C164" s="44"/>
      <c r="D164" s="44"/>
      <c r="E164" s="46"/>
      <c r="F164" s="44"/>
      <c r="G164" s="44"/>
    </row>
    <row r="165" spans="1:7" x14ac:dyDescent="0.3">
      <c r="A165" t="str">
        <f t="shared" si="2"/>
        <v>T164</v>
      </c>
      <c r="B165" s="48"/>
      <c r="C165" s="44"/>
      <c r="D165" s="44"/>
      <c r="E165" s="46"/>
      <c r="F165" s="44"/>
      <c r="G165" s="44"/>
    </row>
    <row r="166" spans="1:7" x14ac:dyDescent="0.3">
      <c r="A166" t="str">
        <f t="shared" si="2"/>
        <v>T165</v>
      </c>
      <c r="B166" s="48"/>
      <c r="C166" s="44"/>
      <c r="D166" s="44"/>
      <c r="E166" s="46"/>
      <c r="F166" s="44"/>
      <c r="G166" s="44"/>
    </row>
    <row r="167" spans="1:7" x14ac:dyDescent="0.3">
      <c r="A167" t="str">
        <f t="shared" si="2"/>
        <v>T166</v>
      </c>
      <c r="B167" s="48"/>
      <c r="C167" s="44"/>
      <c r="D167" s="44"/>
      <c r="E167" s="46"/>
      <c r="F167" s="44"/>
      <c r="G167" s="44"/>
    </row>
    <row r="168" spans="1:7" x14ac:dyDescent="0.3">
      <c r="A168" t="str">
        <f t="shared" si="2"/>
        <v>T167</v>
      </c>
      <c r="B168" s="48"/>
      <c r="C168" s="44"/>
      <c r="D168" s="44"/>
      <c r="E168" s="46"/>
      <c r="F168" s="44"/>
      <c r="G168" s="44"/>
    </row>
    <row r="169" spans="1:7" x14ac:dyDescent="0.3">
      <c r="A169" t="str">
        <f t="shared" si="2"/>
        <v>T168</v>
      </c>
      <c r="B169" s="48"/>
      <c r="C169" s="44"/>
      <c r="D169" s="44"/>
      <c r="E169" s="46"/>
      <c r="F169" s="44"/>
      <c r="G169" s="44"/>
    </row>
    <row r="170" spans="1:7" x14ac:dyDescent="0.3">
      <c r="A170" t="str">
        <f t="shared" si="2"/>
        <v>T169</v>
      </c>
      <c r="B170" s="48"/>
      <c r="C170" s="44"/>
      <c r="D170" s="44"/>
      <c r="E170" s="46"/>
      <c r="F170" s="44"/>
      <c r="G170" s="44"/>
    </row>
    <row r="171" spans="1:7" x14ac:dyDescent="0.3">
      <c r="A171" t="str">
        <f t="shared" si="2"/>
        <v>T170</v>
      </c>
      <c r="B171" s="48"/>
      <c r="C171" s="44"/>
      <c r="D171" s="44"/>
      <c r="E171" s="46"/>
      <c r="F171" s="44"/>
      <c r="G171" s="44"/>
    </row>
    <row r="172" spans="1:7" x14ac:dyDescent="0.3">
      <c r="A172" t="str">
        <f t="shared" si="2"/>
        <v>T171</v>
      </c>
      <c r="B172" s="48"/>
      <c r="C172" s="44"/>
      <c r="D172" s="44"/>
      <c r="E172" s="46"/>
      <c r="F172" s="44"/>
      <c r="G172" s="44"/>
    </row>
    <row r="173" spans="1:7" x14ac:dyDescent="0.3">
      <c r="A173" t="str">
        <f t="shared" si="2"/>
        <v>T172</v>
      </c>
      <c r="B173" s="48"/>
      <c r="C173" s="44"/>
      <c r="D173" s="44"/>
      <c r="E173" s="46"/>
      <c r="F173" s="44"/>
      <c r="G173" s="44"/>
    </row>
    <row r="174" spans="1:7" x14ac:dyDescent="0.3">
      <c r="A174" t="str">
        <f t="shared" si="2"/>
        <v>T173</v>
      </c>
      <c r="B174" s="48"/>
      <c r="C174" s="44"/>
      <c r="D174" s="44"/>
      <c r="E174" s="46"/>
      <c r="F174" s="44"/>
      <c r="G174" s="44"/>
    </row>
    <row r="175" spans="1:7" x14ac:dyDescent="0.3">
      <c r="A175" t="str">
        <f t="shared" si="2"/>
        <v>T174</v>
      </c>
      <c r="B175" s="48"/>
      <c r="C175" s="44"/>
      <c r="D175" s="44"/>
      <c r="E175" s="46"/>
      <c r="F175" s="44"/>
      <c r="G175" s="44"/>
    </row>
    <row r="176" spans="1:7" x14ac:dyDescent="0.3">
      <c r="A176" t="str">
        <f t="shared" si="2"/>
        <v>T175</v>
      </c>
      <c r="B176" s="48"/>
      <c r="C176" s="44"/>
      <c r="D176" s="44"/>
      <c r="E176" s="46"/>
      <c r="F176" s="44"/>
      <c r="G176" s="44"/>
    </row>
    <row r="177" spans="1:7" x14ac:dyDescent="0.3">
      <c r="A177" t="str">
        <f t="shared" si="2"/>
        <v>T176</v>
      </c>
      <c r="B177" s="48"/>
      <c r="C177" s="44"/>
      <c r="D177" s="44"/>
      <c r="E177" s="46"/>
      <c r="F177" s="44"/>
      <c r="G177" s="44"/>
    </row>
    <row r="178" spans="1:7" x14ac:dyDescent="0.3">
      <c r="A178" t="str">
        <f t="shared" si="2"/>
        <v>T177</v>
      </c>
      <c r="B178" s="48"/>
      <c r="C178" s="44"/>
      <c r="D178" s="44"/>
      <c r="E178" s="46"/>
      <c r="F178" s="44"/>
      <c r="G178" s="44"/>
    </row>
    <row r="179" spans="1:7" x14ac:dyDescent="0.3">
      <c r="A179" t="str">
        <f t="shared" si="2"/>
        <v>T178</v>
      </c>
      <c r="B179" s="48"/>
      <c r="C179" s="44"/>
      <c r="D179" s="44"/>
      <c r="E179" s="46"/>
      <c r="F179" s="44"/>
      <c r="G179" s="44"/>
    </row>
    <row r="180" spans="1:7" x14ac:dyDescent="0.3">
      <c r="A180" t="str">
        <f t="shared" si="2"/>
        <v>T179</v>
      </c>
      <c r="B180" s="48"/>
      <c r="C180" s="44"/>
      <c r="D180" s="44"/>
      <c r="E180" s="46"/>
      <c r="F180" s="44"/>
      <c r="G180" s="44"/>
    </row>
    <row r="181" spans="1:7" x14ac:dyDescent="0.3">
      <c r="A181" t="str">
        <f t="shared" si="2"/>
        <v>T180</v>
      </c>
      <c r="B181" s="48"/>
      <c r="C181" s="44"/>
      <c r="D181" s="44"/>
      <c r="E181" s="46"/>
      <c r="F181" s="44"/>
      <c r="G181" s="44"/>
    </row>
    <row r="182" spans="1:7" x14ac:dyDescent="0.3">
      <c r="A182" t="str">
        <f t="shared" si="2"/>
        <v>T181</v>
      </c>
      <c r="B182" s="48"/>
      <c r="C182" s="44"/>
      <c r="D182" s="44"/>
      <c r="E182" s="46"/>
      <c r="F182" s="44"/>
      <c r="G182" s="44"/>
    </row>
    <row r="183" spans="1:7" x14ac:dyDescent="0.3">
      <c r="A183" t="str">
        <f t="shared" si="2"/>
        <v>T182</v>
      </c>
      <c r="B183" s="48"/>
      <c r="C183" s="44"/>
      <c r="D183" s="44"/>
      <c r="E183" s="46"/>
      <c r="F183" s="44"/>
      <c r="G183" s="44"/>
    </row>
    <row r="184" spans="1:7" x14ac:dyDescent="0.3">
      <c r="A184" t="str">
        <f t="shared" si="2"/>
        <v>T183</v>
      </c>
      <c r="B184" s="48"/>
      <c r="C184" s="44"/>
      <c r="D184" s="44"/>
      <c r="E184" s="46"/>
      <c r="F184" s="44"/>
      <c r="G184" s="44"/>
    </row>
    <row r="185" spans="1:7" x14ac:dyDescent="0.3">
      <c r="A185" t="str">
        <f t="shared" si="2"/>
        <v>T184</v>
      </c>
      <c r="B185" s="48"/>
      <c r="C185" s="44"/>
      <c r="D185" s="44"/>
      <c r="E185" s="46"/>
      <c r="F185" s="44"/>
      <c r="G185" s="44"/>
    </row>
    <row r="186" spans="1:7" x14ac:dyDescent="0.3">
      <c r="A186" t="str">
        <f t="shared" si="2"/>
        <v>T185</v>
      </c>
      <c r="B186" s="48"/>
      <c r="C186" s="44"/>
      <c r="D186" s="44"/>
      <c r="E186" s="46"/>
      <c r="F186" s="44"/>
      <c r="G186" s="44"/>
    </row>
    <row r="187" spans="1:7" x14ac:dyDescent="0.3">
      <c r="A187" t="str">
        <f t="shared" si="2"/>
        <v>T186</v>
      </c>
      <c r="B187" s="48"/>
      <c r="C187" s="44"/>
      <c r="D187" s="44"/>
      <c r="E187" s="46"/>
      <c r="F187" s="44"/>
      <c r="G187" s="44"/>
    </row>
    <row r="188" spans="1:7" x14ac:dyDescent="0.3">
      <c r="A188" t="str">
        <f t="shared" si="2"/>
        <v>T187</v>
      </c>
      <c r="B188" s="48"/>
      <c r="C188" s="44"/>
      <c r="D188" s="44"/>
      <c r="E188" s="46"/>
      <c r="F188" s="44"/>
      <c r="G188" s="44"/>
    </row>
    <row r="189" spans="1:7" x14ac:dyDescent="0.3">
      <c r="A189" t="str">
        <f t="shared" si="2"/>
        <v>T188</v>
      </c>
      <c r="B189" s="48"/>
      <c r="C189" s="44"/>
      <c r="D189" s="44"/>
      <c r="E189" s="46"/>
      <c r="F189" s="44"/>
      <c r="G189" s="44"/>
    </row>
    <row r="190" spans="1:7" x14ac:dyDescent="0.3">
      <c r="A190" t="str">
        <f t="shared" si="2"/>
        <v>T189</v>
      </c>
      <c r="B190" s="48"/>
      <c r="C190" s="44"/>
      <c r="D190" s="44"/>
      <c r="E190" s="46"/>
      <c r="F190" s="44"/>
      <c r="G190" s="44"/>
    </row>
    <row r="191" spans="1:7" x14ac:dyDescent="0.3">
      <c r="A191" t="str">
        <f t="shared" si="2"/>
        <v>T190</v>
      </c>
      <c r="B191" s="48"/>
      <c r="C191" s="44"/>
      <c r="D191" s="44"/>
      <c r="E191" s="46"/>
      <c r="F191" s="44"/>
      <c r="G191" s="44"/>
    </row>
    <row r="192" spans="1:7" x14ac:dyDescent="0.3">
      <c r="A192" t="str">
        <f t="shared" si="2"/>
        <v>T191</v>
      </c>
      <c r="B192" s="48"/>
      <c r="C192" s="44"/>
      <c r="D192" s="44"/>
      <c r="E192" s="46"/>
      <c r="F192" s="44"/>
      <c r="G192" s="44"/>
    </row>
    <row r="193" spans="1:7" x14ac:dyDescent="0.3">
      <c r="A193" t="str">
        <f t="shared" si="2"/>
        <v>T192</v>
      </c>
      <c r="B193" s="48"/>
      <c r="C193" s="44"/>
      <c r="D193" s="44"/>
      <c r="E193" s="46"/>
      <c r="F193" s="44"/>
      <c r="G193" s="44"/>
    </row>
    <row r="194" spans="1:7" x14ac:dyDescent="0.3">
      <c r="A194" t="str">
        <f t="shared" ref="A194:A257" si="3">"T"&amp;TEXT(ROW()-1,"000")</f>
        <v>T193</v>
      </c>
      <c r="B194" s="48"/>
      <c r="C194" s="44"/>
      <c r="D194" s="44"/>
      <c r="E194" s="46"/>
      <c r="F194" s="44"/>
      <c r="G194" s="44"/>
    </row>
    <row r="195" spans="1:7" x14ac:dyDescent="0.3">
      <c r="A195" t="str">
        <f t="shared" si="3"/>
        <v>T194</v>
      </c>
      <c r="B195" s="48"/>
      <c r="C195" s="44"/>
      <c r="D195" s="44"/>
      <c r="E195" s="46"/>
      <c r="F195" s="44"/>
      <c r="G195" s="44"/>
    </row>
    <row r="196" spans="1:7" x14ac:dyDescent="0.3">
      <c r="A196" t="str">
        <f t="shared" si="3"/>
        <v>T195</v>
      </c>
      <c r="B196" s="48"/>
      <c r="C196" s="44"/>
      <c r="D196" s="44"/>
      <c r="E196" s="46"/>
      <c r="F196" s="44"/>
      <c r="G196" s="44"/>
    </row>
    <row r="197" spans="1:7" x14ac:dyDescent="0.3">
      <c r="A197" t="str">
        <f t="shared" si="3"/>
        <v>T196</v>
      </c>
      <c r="B197" s="48"/>
      <c r="C197" s="44"/>
      <c r="D197" s="44"/>
      <c r="E197" s="46"/>
      <c r="F197" s="44"/>
      <c r="G197" s="44"/>
    </row>
    <row r="198" spans="1:7" x14ac:dyDescent="0.3">
      <c r="A198" t="str">
        <f t="shared" si="3"/>
        <v>T197</v>
      </c>
      <c r="B198" s="48"/>
      <c r="C198" s="44"/>
      <c r="D198" s="44"/>
      <c r="E198" s="46"/>
      <c r="F198" s="44"/>
      <c r="G198" s="44"/>
    </row>
    <row r="199" spans="1:7" x14ac:dyDescent="0.3">
      <c r="A199" t="str">
        <f t="shared" si="3"/>
        <v>T198</v>
      </c>
      <c r="B199" s="48"/>
      <c r="C199" s="44"/>
      <c r="D199" s="44"/>
      <c r="E199" s="46"/>
      <c r="F199" s="44"/>
      <c r="G199" s="44"/>
    </row>
    <row r="200" spans="1:7" x14ac:dyDescent="0.3">
      <c r="A200" t="str">
        <f t="shared" si="3"/>
        <v>T199</v>
      </c>
      <c r="B200" s="48"/>
      <c r="C200" s="44"/>
      <c r="D200" s="44"/>
      <c r="E200" s="46"/>
      <c r="F200" s="44"/>
      <c r="G200" s="44"/>
    </row>
    <row r="201" spans="1:7" x14ac:dyDescent="0.3">
      <c r="A201" t="str">
        <f t="shared" si="3"/>
        <v>T200</v>
      </c>
      <c r="B201" s="48"/>
      <c r="C201" s="44"/>
      <c r="D201" s="44"/>
      <c r="E201" s="46"/>
      <c r="F201" s="44"/>
      <c r="G201" s="44"/>
    </row>
    <row r="202" spans="1:7" x14ac:dyDescent="0.3">
      <c r="A202" t="str">
        <f t="shared" si="3"/>
        <v>T201</v>
      </c>
      <c r="B202" s="48"/>
      <c r="C202" s="44"/>
      <c r="D202" s="44"/>
      <c r="E202" s="46"/>
      <c r="F202" s="44"/>
      <c r="G202" s="44"/>
    </row>
    <row r="203" spans="1:7" x14ac:dyDescent="0.3">
      <c r="A203" t="str">
        <f t="shared" si="3"/>
        <v>T202</v>
      </c>
      <c r="B203" s="48"/>
      <c r="C203" s="44"/>
      <c r="D203" s="44"/>
      <c r="E203" s="46"/>
      <c r="F203" s="44"/>
      <c r="G203" s="44"/>
    </row>
    <row r="204" spans="1:7" x14ac:dyDescent="0.3">
      <c r="A204" t="str">
        <f t="shared" si="3"/>
        <v>T203</v>
      </c>
      <c r="B204" s="48"/>
      <c r="C204" s="44"/>
      <c r="D204" s="44"/>
      <c r="E204" s="46"/>
      <c r="F204" s="44"/>
      <c r="G204" s="44"/>
    </row>
    <row r="205" spans="1:7" x14ac:dyDescent="0.3">
      <c r="A205" t="str">
        <f t="shared" si="3"/>
        <v>T204</v>
      </c>
      <c r="B205" s="48"/>
      <c r="C205" s="44"/>
      <c r="D205" s="44"/>
      <c r="E205" s="46"/>
      <c r="F205" s="44"/>
      <c r="G205" s="44"/>
    </row>
    <row r="206" spans="1:7" x14ac:dyDescent="0.3">
      <c r="A206" t="str">
        <f t="shared" si="3"/>
        <v>T205</v>
      </c>
      <c r="B206" s="48"/>
      <c r="C206" s="44"/>
      <c r="D206" s="44"/>
      <c r="E206" s="46"/>
      <c r="F206" s="44"/>
      <c r="G206" s="44"/>
    </row>
    <row r="207" spans="1:7" x14ac:dyDescent="0.3">
      <c r="A207" t="str">
        <f t="shared" si="3"/>
        <v>T206</v>
      </c>
      <c r="B207" s="48"/>
      <c r="C207" s="44"/>
      <c r="D207" s="44"/>
      <c r="E207" s="46"/>
      <c r="F207" s="44"/>
      <c r="G207" s="44"/>
    </row>
    <row r="208" spans="1:7" x14ac:dyDescent="0.3">
      <c r="A208" t="str">
        <f t="shared" si="3"/>
        <v>T207</v>
      </c>
      <c r="B208" s="48"/>
      <c r="C208" s="44"/>
      <c r="D208" s="44"/>
      <c r="E208" s="46"/>
      <c r="F208" s="44"/>
      <c r="G208" s="44"/>
    </row>
    <row r="209" spans="1:7" x14ac:dyDescent="0.3">
      <c r="A209" t="str">
        <f t="shared" si="3"/>
        <v>T208</v>
      </c>
      <c r="B209" s="48"/>
      <c r="C209" s="44"/>
      <c r="D209" s="44"/>
      <c r="E209" s="46"/>
      <c r="F209" s="44"/>
      <c r="G209" s="44"/>
    </row>
    <row r="210" spans="1:7" x14ac:dyDescent="0.3">
      <c r="A210" t="str">
        <f t="shared" si="3"/>
        <v>T209</v>
      </c>
      <c r="B210" s="48"/>
      <c r="C210" s="44"/>
      <c r="D210" s="44"/>
      <c r="E210" s="46"/>
      <c r="F210" s="44"/>
      <c r="G210" s="44"/>
    </row>
    <row r="211" spans="1:7" x14ac:dyDescent="0.3">
      <c r="A211" t="str">
        <f t="shared" si="3"/>
        <v>T210</v>
      </c>
      <c r="B211" s="48"/>
      <c r="C211" s="44"/>
      <c r="D211" s="44"/>
      <c r="E211" s="46"/>
      <c r="F211" s="44"/>
      <c r="G211" s="44"/>
    </row>
    <row r="212" spans="1:7" x14ac:dyDescent="0.3">
      <c r="A212" t="str">
        <f t="shared" si="3"/>
        <v>T211</v>
      </c>
      <c r="B212" s="48"/>
      <c r="C212" s="44"/>
      <c r="D212" s="44"/>
      <c r="E212" s="46"/>
      <c r="F212" s="44"/>
      <c r="G212" s="44"/>
    </row>
    <row r="213" spans="1:7" x14ac:dyDescent="0.3">
      <c r="A213" t="str">
        <f t="shared" si="3"/>
        <v>T212</v>
      </c>
      <c r="B213" s="48"/>
      <c r="C213" s="44"/>
      <c r="D213" s="44"/>
      <c r="E213" s="46"/>
      <c r="F213" s="44"/>
      <c r="G213" s="44"/>
    </row>
    <row r="214" spans="1:7" x14ac:dyDescent="0.3">
      <c r="A214" t="str">
        <f t="shared" si="3"/>
        <v>T213</v>
      </c>
      <c r="B214" s="48"/>
      <c r="C214" s="44"/>
      <c r="D214" s="44"/>
      <c r="E214" s="46"/>
      <c r="F214" s="44"/>
      <c r="G214" s="44"/>
    </row>
    <row r="215" spans="1:7" x14ac:dyDescent="0.3">
      <c r="A215" t="str">
        <f t="shared" si="3"/>
        <v>T214</v>
      </c>
      <c r="B215" s="48"/>
      <c r="C215" s="44"/>
      <c r="D215" s="44"/>
      <c r="E215" s="46"/>
      <c r="F215" s="44"/>
      <c r="G215" s="44"/>
    </row>
    <row r="216" spans="1:7" x14ac:dyDescent="0.3">
      <c r="A216" t="str">
        <f t="shared" si="3"/>
        <v>T215</v>
      </c>
      <c r="B216" s="48"/>
      <c r="C216" s="44"/>
      <c r="D216" s="44"/>
      <c r="E216" s="46"/>
      <c r="F216" s="44"/>
      <c r="G216" s="44"/>
    </row>
    <row r="217" spans="1:7" x14ac:dyDescent="0.3">
      <c r="A217" t="str">
        <f t="shared" si="3"/>
        <v>T216</v>
      </c>
      <c r="B217" s="48"/>
      <c r="C217" s="44"/>
      <c r="D217" s="44"/>
      <c r="E217" s="46"/>
      <c r="F217" s="44"/>
      <c r="G217" s="44"/>
    </row>
    <row r="218" spans="1:7" x14ac:dyDescent="0.3">
      <c r="A218" t="str">
        <f t="shared" si="3"/>
        <v>T217</v>
      </c>
      <c r="B218" s="48"/>
      <c r="C218" s="44"/>
      <c r="D218" s="44"/>
      <c r="E218" s="46"/>
      <c r="F218" s="44"/>
      <c r="G218" s="44"/>
    </row>
    <row r="219" spans="1:7" x14ac:dyDescent="0.3">
      <c r="A219" t="str">
        <f t="shared" si="3"/>
        <v>T218</v>
      </c>
      <c r="B219" s="48"/>
      <c r="C219" s="44"/>
      <c r="D219" s="44"/>
      <c r="E219" s="46"/>
      <c r="F219" s="44"/>
      <c r="G219" s="44"/>
    </row>
    <row r="220" spans="1:7" x14ac:dyDescent="0.3">
      <c r="A220" t="str">
        <f t="shared" si="3"/>
        <v>T219</v>
      </c>
      <c r="B220" s="48"/>
      <c r="C220" s="44"/>
      <c r="D220" s="44"/>
      <c r="E220" s="46"/>
      <c r="F220" s="44"/>
      <c r="G220" s="44"/>
    </row>
    <row r="221" spans="1:7" x14ac:dyDescent="0.3">
      <c r="A221" t="str">
        <f t="shared" si="3"/>
        <v>T220</v>
      </c>
      <c r="B221" s="48"/>
      <c r="C221" s="44"/>
      <c r="D221" s="44"/>
      <c r="E221" s="46"/>
      <c r="F221" s="44"/>
      <c r="G221" s="44"/>
    </row>
    <row r="222" spans="1:7" x14ac:dyDescent="0.3">
      <c r="A222" t="str">
        <f t="shared" si="3"/>
        <v>T221</v>
      </c>
      <c r="B222" s="48"/>
      <c r="C222" s="44"/>
      <c r="D222" s="44"/>
      <c r="E222" s="46"/>
      <c r="F222" s="44"/>
      <c r="G222" s="44"/>
    </row>
    <row r="223" spans="1:7" x14ac:dyDescent="0.3">
      <c r="A223" t="str">
        <f t="shared" si="3"/>
        <v>T222</v>
      </c>
      <c r="B223" s="48"/>
      <c r="C223" s="44"/>
      <c r="D223" s="44"/>
      <c r="E223" s="46"/>
      <c r="F223" s="44"/>
      <c r="G223" s="44"/>
    </row>
    <row r="224" spans="1:7" x14ac:dyDescent="0.3">
      <c r="A224" t="str">
        <f t="shared" si="3"/>
        <v>T223</v>
      </c>
      <c r="B224" s="48"/>
      <c r="C224" s="44"/>
      <c r="D224" s="44"/>
      <c r="E224" s="46"/>
      <c r="F224" s="44"/>
      <c r="G224" s="44"/>
    </row>
    <row r="225" spans="1:7" x14ac:dyDescent="0.3">
      <c r="A225" t="str">
        <f t="shared" si="3"/>
        <v>T224</v>
      </c>
      <c r="B225" s="48"/>
      <c r="C225" s="44"/>
      <c r="D225" s="44"/>
      <c r="E225" s="46"/>
      <c r="F225" s="44"/>
      <c r="G225" s="44"/>
    </row>
    <row r="226" spans="1:7" x14ac:dyDescent="0.3">
      <c r="A226" t="str">
        <f t="shared" si="3"/>
        <v>T225</v>
      </c>
      <c r="B226" s="48"/>
      <c r="C226" s="44"/>
      <c r="D226" s="44"/>
      <c r="E226" s="46"/>
      <c r="F226" s="44"/>
      <c r="G226" s="44"/>
    </row>
    <row r="227" spans="1:7" x14ac:dyDescent="0.3">
      <c r="A227" t="str">
        <f t="shared" si="3"/>
        <v>T226</v>
      </c>
      <c r="B227" s="48"/>
      <c r="C227" s="44"/>
      <c r="D227" s="44"/>
      <c r="E227" s="46"/>
      <c r="F227" s="44"/>
      <c r="G227" s="44"/>
    </row>
    <row r="228" spans="1:7" x14ac:dyDescent="0.3">
      <c r="A228" t="str">
        <f t="shared" si="3"/>
        <v>T227</v>
      </c>
      <c r="B228" s="48"/>
      <c r="C228" s="44"/>
      <c r="D228" s="44"/>
      <c r="E228" s="46"/>
      <c r="F228" s="44"/>
      <c r="G228" s="44"/>
    </row>
    <row r="229" spans="1:7" x14ac:dyDescent="0.3">
      <c r="A229" t="str">
        <f t="shared" si="3"/>
        <v>T228</v>
      </c>
      <c r="B229" s="48"/>
      <c r="C229" s="44"/>
      <c r="D229" s="44"/>
      <c r="E229" s="46"/>
      <c r="F229" s="44"/>
      <c r="G229" s="44"/>
    </row>
    <row r="230" spans="1:7" x14ac:dyDescent="0.3">
      <c r="A230" t="str">
        <f t="shared" si="3"/>
        <v>T229</v>
      </c>
      <c r="B230" s="48"/>
      <c r="C230" s="44"/>
      <c r="D230" s="44"/>
      <c r="E230" s="46"/>
      <c r="F230" s="44"/>
      <c r="G230" s="44"/>
    </row>
    <row r="231" spans="1:7" x14ac:dyDescent="0.3">
      <c r="A231" t="str">
        <f t="shared" si="3"/>
        <v>T230</v>
      </c>
      <c r="B231" s="48"/>
      <c r="C231" s="44"/>
      <c r="D231" s="44"/>
      <c r="E231" s="46"/>
      <c r="F231" s="44"/>
      <c r="G231" s="44"/>
    </row>
    <row r="232" spans="1:7" x14ac:dyDescent="0.3">
      <c r="A232" t="str">
        <f t="shared" si="3"/>
        <v>T231</v>
      </c>
      <c r="B232" s="48"/>
      <c r="C232" s="44"/>
      <c r="D232" s="44"/>
      <c r="E232" s="46"/>
      <c r="F232" s="44"/>
      <c r="G232" s="44"/>
    </row>
    <row r="233" spans="1:7" x14ac:dyDescent="0.3">
      <c r="A233" t="str">
        <f t="shared" si="3"/>
        <v>T232</v>
      </c>
      <c r="B233" s="48"/>
      <c r="C233" s="44"/>
      <c r="D233" s="44"/>
      <c r="E233" s="46"/>
      <c r="F233" s="44"/>
      <c r="G233" s="44"/>
    </row>
    <row r="234" spans="1:7" x14ac:dyDescent="0.3">
      <c r="A234" t="str">
        <f t="shared" si="3"/>
        <v>T233</v>
      </c>
      <c r="B234" s="48"/>
      <c r="C234" s="44"/>
      <c r="D234" s="44"/>
      <c r="E234" s="46"/>
      <c r="F234" s="44"/>
      <c r="G234" s="44"/>
    </row>
    <row r="235" spans="1:7" x14ac:dyDescent="0.3">
      <c r="A235" t="str">
        <f t="shared" si="3"/>
        <v>T234</v>
      </c>
      <c r="B235" s="48"/>
      <c r="C235" s="44"/>
      <c r="D235" s="44"/>
      <c r="E235" s="46"/>
      <c r="F235" s="44"/>
      <c r="G235" s="44"/>
    </row>
    <row r="236" spans="1:7" x14ac:dyDescent="0.3">
      <c r="A236" t="str">
        <f t="shared" si="3"/>
        <v>T235</v>
      </c>
      <c r="B236" s="48"/>
      <c r="C236" s="44"/>
      <c r="D236" s="44"/>
      <c r="E236" s="46"/>
      <c r="F236" s="44"/>
      <c r="G236" s="44"/>
    </row>
    <row r="237" spans="1:7" x14ac:dyDescent="0.3">
      <c r="A237" t="str">
        <f t="shared" si="3"/>
        <v>T236</v>
      </c>
      <c r="B237" s="48"/>
      <c r="C237" s="44"/>
      <c r="D237" s="44"/>
      <c r="E237" s="46"/>
      <c r="F237" s="44"/>
      <c r="G237" s="44"/>
    </row>
    <row r="238" spans="1:7" x14ac:dyDescent="0.3">
      <c r="A238" t="str">
        <f t="shared" si="3"/>
        <v>T237</v>
      </c>
      <c r="B238" s="48"/>
      <c r="C238" s="44"/>
      <c r="D238" s="44"/>
      <c r="E238" s="46"/>
      <c r="F238" s="44"/>
      <c r="G238" s="44"/>
    </row>
    <row r="239" spans="1:7" x14ac:dyDescent="0.3">
      <c r="A239" t="str">
        <f t="shared" si="3"/>
        <v>T238</v>
      </c>
      <c r="B239" s="48"/>
      <c r="C239" s="44"/>
      <c r="D239" s="44"/>
      <c r="E239" s="46"/>
      <c r="F239" s="44"/>
      <c r="G239" s="44"/>
    </row>
    <row r="240" spans="1:7" x14ac:dyDescent="0.3">
      <c r="A240" t="str">
        <f t="shared" si="3"/>
        <v>T239</v>
      </c>
      <c r="B240" s="48"/>
      <c r="C240" s="44"/>
      <c r="D240" s="44"/>
      <c r="E240" s="46"/>
      <c r="F240" s="44"/>
      <c r="G240" s="44"/>
    </row>
    <row r="241" spans="1:7" x14ac:dyDescent="0.3">
      <c r="A241" t="str">
        <f t="shared" si="3"/>
        <v>T240</v>
      </c>
      <c r="B241" s="48"/>
      <c r="C241" s="44"/>
      <c r="D241" s="44"/>
      <c r="E241" s="46"/>
      <c r="F241" s="44"/>
      <c r="G241" s="44"/>
    </row>
    <row r="242" spans="1:7" x14ac:dyDescent="0.3">
      <c r="A242" t="str">
        <f t="shared" si="3"/>
        <v>T241</v>
      </c>
      <c r="B242" s="48"/>
      <c r="C242" s="44"/>
      <c r="D242" s="44"/>
      <c r="E242" s="46"/>
      <c r="F242" s="44"/>
      <c r="G242" s="44"/>
    </row>
    <row r="243" spans="1:7" x14ac:dyDescent="0.3">
      <c r="A243" t="str">
        <f t="shared" si="3"/>
        <v>T242</v>
      </c>
      <c r="B243" s="48"/>
      <c r="C243" s="44"/>
      <c r="D243" s="44"/>
      <c r="E243" s="46"/>
      <c r="F243" s="44"/>
      <c r="G243" s="44"/>
    </row>
    <row r="244" spans="1:7" x14ac:dyDescent="0.3">
      <c r="A244" t="str">
        <f t="shared" si="3"/>
        <v>T243</v>
      </c>
      <c r="B244" s="48"/>
      <c r="C244" s="44"/>
      <c r="D244" s="44"/>
      <c r="E244" s="46"/>
      <c r="F244" s="44"/>
      <c r="G244" s="44"/>
    </row>
    <row r="245" spans="1:7" x14ac:dyDescent="0.3">
      <c r="A245" t="str">
        <f t="shared" si="3"/>
        <v>T244</v>
      </c>
      <c r="B245" s="48"/>
      <c r="C245" s="44"/>
      <c r="D245" s="44"/>
      <c r="E245" s="46"/>
      <c r="F245" s="44"/>
      <c r="G245" s="44"/>
    </row>
    <row r="246" spans="1:7" x14ac:dyDescent="0.3">
      <c r="A246" t="str">
        <f t="shared" si="3"/>
        <v>T245</v>
      </c>
      <c r="B246" s="48"/>
      <c r="C246" s="44"/>
      <c r="D246" s="44"/>
      <c r="E246" s="46"/>
      <c r="F246" s="44"/>
      <c r="G246" s="44"/>
    </row>
    <row r="247" spans="1:7" x14ac:dyDescent="0.3">
      <c r="A247" t="str">
        <f t="shared" si="3"/>
        <v>T246</v>
      </c>
      <c r="B247" s="48"/>
      <c r="C247" s="44"/>
      <c r="D247" s="44"/>
      <c r="E247" s="46"/>
      <c r="F247" s="44"/>
      <c r="G247" s="44"/>
    </row>
    <row r="248" spans="1:7" x14ac:dyDescent="0.3">
      <c r="A248" t="str">
        <f t="shared" si="3"/>
        <v>T247</v>
      </c>
      <c r="B248" s="48"/>
      <c r="C248" s="44"/>
      <c r="D248" s="44"/>
      <c r="E248" s="46"/>
      <c r="F248" s="44"/>
      <c r="G248" s="44"/>
    </row>
    <row r="249" spans="1:7" x14ac:dyDescent="0.3">
      <c r="A249" t="str">
        <f t="shared" si="3"/>
        <v>T248</v>
      </c>
      <c r="B249" s="48"/>
      <c r="C249" s="44"/>
      <c r="D249" s="44"/>
      <c r="E249" s="46"/>
      <c r="F249" s="44"/>
      <c r="G249" s="44"/>
    </row>
    <row r="250" spans="1:7" x14ac:dyDescent="0.3">
      <c r="A250" t="str">
        <f t="shared" si="3"/>
        <v>T249</v>
      </c>
      <c r="B250" s="48"/>
      <c r="C250" s="44"/>
      <c r="D250" s="44"/>
      <c r="E250" s="46"/>
      <c r="F250" s="44"/>
      <c r="G250" s="44"/>
    </row>
    <row r="251" spans="1:7" x14ac:dyDescent="0.3">
      <c r="A251" t="str">
        <f t="shared" si="3"/>
        <v>T250</v>
      </c>
      <c r="B251" s="48"/>
      <c r="C251" s="44"/>
      <c r="D251" s="44"/>
      <c r="E251" s="46"/>
      <c r="F251" s="44"/>
      <c r="G251" s="44"/>
    </row>
    <row r="252" spans="1:7" x14ac:dyDescent="0.3">
      <c r="A252" t="str">
        <f t="shared" si="3"/>
        <v>T251</v>
      </c>
      <c r="B252" s="48"/>
      <c r="C252" s="44"/>
      <c r="D252" s="44"/>
      <c r="E252" s="46"/>
      <c r="F252" s="44"/>
      <c r="G252" s="44"/>
    </row>
    <row r="253" spans="1:7" x14ac:dyDescent="0.3">
      <c r="A253" t="str">
        <f t="shared" si="3"/>
        <v>T252</v>
      </c>
      <c r="B253" s="48"/>
      <c r="C253" s="44"/>
      <c r="D253" s="44"/>
      <c r="E253" s="46"/>
      <c r="F253" s="44"/>
      <c r="G253" s="44"/>
    </row>
    <row r="254" spans="1:7" x14ac:dyDescent="0.3">
      <c r="A254" t="str">
        <f t="shared" si="3"/>
        <v>T253</v>
      </c>
      <c r="B254" s="48"/>
      <c r="C254" s="44"/>
      <c r="D254" s="44"/>
      <c r="E254" s="46"/>
      <c r="F254" s="44"/>
      <c r="G254" s="44"/>
    </row>
    <row r="255" spans="1:7" x14ac:dyDescent="0.3">
      <c r="A255" t="str">
        <f t="shared" si="3"/>
        <v>T254</v>
      </c>
      <c r="B255" s="48"/>
      <c r="C255" s="44"/>
      <c r="D255" s="44"/>
      <c r="E255" s="46"/>
      <c r="F255" s="44"/>
      <c r="G255" s="44"/>
    </row>
    <row r="256" spans="1:7" x14ac:dyDescent="0.3">
      <c r="A256" t="str">
        <f t="shared" si="3"/>
        <v>T255</v>
      </c>
      <c r="B256" s="48"/>
      <c r="C256" s="44"/>
      <c r="D256" s="44"/>
      <c r="E256" s="46"/>
      <c r="F256" s="44"/>
      <c r="G256" s="44"/>
    </row>
    <row r="257" spans="1:7" x14ac:dyDescent="0.3">
      <c r="A257" t="str">
        <f t="shared" si="3"/>
        <v>T256</v>
      </c>
      <c r="B257" s="48"/>
      <c r="C257" s="44"/>
      <c r="D257" s="44"/>
      <c r="E257" s="46"/>
      <c r="F257" s="44"/>
      <c r="G257" s="44"/>
    </row>
    <row r="258" spans="1:7" x14ac:dyDescent="0.3">
      <c r="A258" t="str">
        <f t="shared" ref="A258:A321" si="4">"T"&amp;TEXT(ROW()-1,"000")</f>
        <v>T257</v>
      </c>
      <c r="B258" s="48"/>
      <c r="C258" s="44"/>
      <c r="D258" s="44"/>
      <c r="E258" s="46"/>
      <c r="F258" s="44"/>
      <c r="G258" s="44"/>
    </row>
    <row r="259" spans="1:7" x14ac:dyDescent="0.3">
      <c r="A259" t="str">
        <f t="shared" si="4"/>
        <v>T258</v>
      </c>
      <c r="B259" s="48"/>
      <c r="C259" s="44"/>
      <c r="D259" s="44"/>
      <c r="E259" s="46"/>
      <c r="F259" s="44"/>
      <c r="G259" s="44"/>
    </row>
    <row r="260" spans="1:7" x14ac:dyDescent="0.3">
      <c r="A260" t="str">
        <f t="shared" si="4"/>
        <v>T259</v>
      </c>
      <c r="B260" s="48"/>
      <c r="C260" s="44"/>
      <c r="D260" s="44"/>
      <c r="E260" s="46"/>
      <c r="F260" s="44"/>
      <c r="G260" s="44"/>
    </row>
    <row r="261" spans="1:7" x14ac:dyDescent="0.3">
      <c r="A261" t="str">
        <f t="shared" si="4"/>
        <v>T260</v>
      </c>
      <c r="B261" s="48"/>
      <c r="C261" s="44"/>
      <c r="D261" s="44"/>
      <c r="E261" s="46"/>
      <c r="F261" s="44"/>
      <c r="G261" s="44"/>
    </row>
    <row r="262" spans="1:7" x14ac:dyDescent="0.3">
      <c r="A262" t="str">
        <f t="shared" si="4"/>
        <v>T261</v>
      </c>
      <c r="B262" s="48"/>
      <c r="C262" s="44"/>
      <c r="D262" s="44"/>
      <c r="E262" s="46"/>
      <c r="F262" s="44"/>
      <c r="G262" s="44"/>
    </row>
    <row r="263" spans="1:7" x14ac:dyDescent="0.3">
      <c r="A263" t="str">
        <f t="shared" si="4"/>
        <v>T262</v>
      </c>
      <c r="B263" s="48"/>
      <c r="C263" s="44"/>
      <c r="D263" s="44"/>
      <c r="E263" s="46"/>
      <c r="F263" s="44"/>
      <c r="G263" s="44"/>
    </row>
    <row r="264" spans="1:7" x14ac:dyDescent="0.3">
      <c r="A264" t="str">
        <f t="shared" si="4"/>
        <v>T263</v>
      </c>
      <c r="B264" s="48"/>
      <c r="C264" s="44"/>
      <c r="D264" s="44"/>
      <c r="E264" s="46"/>
      <c r="F264" s="44"/>
      <c r="G264" s="44"/>
    </row>
    <row r="265" spans="1:7" x14ac:dyDescent="0.3">
      <c r="A265" t="str">
        <f t="shared" si="4"/>
        <v>T264</v>
      </c>
      <c r="B265" s="48"/>
      <c r="C265" s="44"/>
      <c r="D265" s="44"/>
      <c r="E265" s="46"/>
      <c r="F265" s="44"/>
      <c r="G265" s="44"/>
    </row>
    <row r="266" spans="1:7" x14ac:dyDescent="0.3">
      <c r="A266" t="str">
        <f t="shared" si="4"/>
        <v>T265</v>
      </c>
      <c r="B266" s="48"/>
      <c r="C266" s="44"/>
      <c r="D266" s="44"/>
      <c r="E266" s="46"/>
      <c r="F266" s="44"/>
      <c r="G266" s="44"/>
    </row>
    <row r="267" spans="1:7" x14ac:dyDescent="0.3">
      <c r="A267" t="str">
        <f t="shared" si="4"/>
        <v>T266</v>
      </c>
      <c r="B267" s="48"/>
      <c r="C267" s="44"/>
      <c r="D267" s="44"/>
      <c r="E267" s="46"/>
      <c r="F267" s="44"/>
      <c r="G267" s="44"/>
    </row>
    <row r="268" spans="1:7" x14ac:dyDescent="0.3">
      <c r="A268" t="str">
        <f t="shared" si="4"/>
        <v>T267</v>
      </c>
      <c r="B268" s="48"/>
      <c r="C268" s="44"/>
      <c r="D268" s="44"/>
      <c r="E268" s="46"/>
      <c r="F268" s="44"/>
      <c r="G268" s="44"/>
    </row>
    <row r="269" spans="1:7" x14ac:dyDescent="0.3">
      <c r="A269" t="str">
        <f t="shared" si="4"/>
        <v>T268</v>
      </c>
      <c r="B269" s="48"/>
      <c r="C269" s="44"/>
      <c r="D269" s="44"/>
      <c r="E269" s="46"/>
      <c r="F269" s="44"/>
      <c r="G269" s="44"/>
    </row>
    <row r="270" spans="1:7" x14ac:dyDescent="0.3">
      <c r="A270" t="str">
        <f t="shared" si="4"/>
        <v>T269</v>
      </c>
      <c r="B270" s="48"/>
      <c r="C270" s="44"/>
      <c r="D270" s="44"/>
      <c r="E270" s="46"/>
      <c r="F270" s="44"/>
      <c r="G270" s="44"/>
    </row>
    <row r="271" spans="1:7" x14ac:dyDescent="0.3">
      <c r="A271" t="str">
        <f t="shared" si="4"/>
        <v>T270</v>
      </c>
      <c r="B271" s="48"/>
      <c r="C271" s="44"/>
      <c r="D271" s="44"/>
      <c r="E271" s="46"/>
      <c r="F271" s="44"/>
      <c r="G271" s="44"/>
    </row>
    <row r="272" spans="1:7" x14ac:dyDescent="0.3">
      <c r="A272" t="str">
        <f t="shared" si="4"/>
        <v>T271</v>
      </c>
      <c r="B272" s="48"/>
      <c r="C272" s="44"/>
      <c r="D272" s="44"/>
      <c r="E272" s="46"/>
      <c r="F272" s="44"/>
      <c r="G272" s="44"/>
    </row>
    <row r="273" spans="1:7" x14ac:dyDescent="0.3">
      <c r="A273" t="str">
        <f t="shared" si="4"/>
        <v>T272</v>
      </c>
      <c r="B273" s="48"/>
      <c r="C273" s="44"/>
      <c r="D273" s="44"/>
      <c r="E273" s="46"/>
      <c r="F273" s="44"/>
      <c r="G273" s="44"/>
    </row>
    <row r="274" spans="1:7" x14ac:dyDescent="0.3">
      <c r="A274" t="str">
        <f t="shared" si="4"/>
        <v>T273</v>
      </c>
      <c r="B274" s="48"/>
      <c r="C274" s="44"/>
      <c r="D274" s="44"/>
      <c r="E274" s="46"/>
      <c r="F274" s="44"/>
      <c r="G274" s="44"/>
    </row>
    <row r="275" spans="1:7" x14ac:dyDescent="0.3">
      <c r="A275" t="str">
        <f t="shared" si="4"/>
        <v>T274</v>
      </c>
      <c r="B275" s="48"/>
      <c r="C275" s="44"/>
      <c r="D275" s="44"/>
      <c r="E275" s="46"/>
      <c r="F275" s="44"/>
      <c r="G275" s="44"/>
    </row>
    <row r="276" spans="1:7" x14ac:dyDescent="0.3">
      <c r="A276" t="str">
        <f t="shared" si="4"/>
        <v>T275</v>
      </c>
      <c r="B276" s="48"/>
      <c r="C276" s="44"/>
      <c r="D276" s="44"/>
      <c r="E276" s="46"/>
      <c r="F276" s="44"/>
      <c r="G276" s="44"/>
    </row>
    <row r="277" spans="1:7" x14ac:dyDescent="0.3">
      <c r="A277" t="str">
        <f t="shared" si="4"/>
        <v>T276</v>
      </c>
      <c r="B277" s="48"/>
      <c r="C277" s="44"/>
      <c r="D277" s="44"/>
      <c r="E277" s="46"/>
      <c r="F277" s="44"/>
      <c r="G277" s="44"/>
    </row>
    <row r="278" spans="1:7" x14ac:dyDescent="0.3">
      <c r="A278" t="str">
        <f t="shared" si="4"/>
        <v>T277</v>
      </c>
      <c r="B278" s="48"/>
      <c r="C278" s="44"/>
      <c r="D278" s="44"/>
      <c r="E278" s="46"/>
      <c r="F278" s="44"/>
      <c r="G278" s="44"/>
    </row>
    <row r="279" spans="1:7" x14ac:dyDescent="0.3">
      <c r="A279" t="str">
        <f t="shared" si="4"/>
        <v>T278</v>
      </c>
      <c r="B279" s="48"/>
      <c r="C279" s="44"/>
      <c r="D279" s="44"/>
      <c r="E279" s="46"/>
      <c r="F279" s="44"/>
      <c r="G279" s="44"/>
    </row>
    <row r="280" spans="1:7" x14ac:dyDescent="0.3">
      <c r="A280" t="str">
        <f t="shared" si="4"/>
        <v>T279</v>
      </c>
      <c r="B280" s="48"/>
      <c r="C280" s="44"/>
      <c r="D280" s="44"/>
      <c r="E280" s="46"/>
      <c r="F280" s="44"/>
      <c r="G280" s="44"/>
    </row>
    <row r="281" spans="1:7" x14ac:dyDescent="0.3">
      <c r="A281" t="str">
        <f t="shared" si="4"/>
        <v>T280</v>
      </c>
      <c r="B281" s="48"/>
      <c r="C281" s="44"/>
      <c r="D281" s="44"/>
      <c r="E281" s="46"/>
      <c r="F281" s="44"/>
      <c r="G281" s="44"/>
    </row>
    <row r="282" spans="1:7" x14ac:dyDescent="0.3">
      <c r="A282" t="str">
        <f t="shared" si="4"/>
        <v>T281</v>
      </c>
      <c r="B282" s="48"/>
      <c r="C282" s="44"/>
      <c r="D282" s="44"/>
      <c r="E282" s="46"/>
      <c r="F282" s="44"/>
      <c r="G282" s="44"/>
    </row>
    <row r="283" spans="1:7" x14ac:dyDescent="0.3">
      <c r="A283" t="str">
        <f t="shared" si="4"/>
        <v>T282</v>
      </c>
      <c r="B283" s="48"/>
      <c r="C283" s="44"/>
      <c r="D283" s="44"/>
      <c r="E283" s="46"/>
      <c r="F283" s="44"/>
      <c r="G283" s="44"/>
    </row>
    <row r="284" spans="1:7" x14ac:dyDescent="0.3">
      <c r="A284" t="str">
        <f t="shared" si="4"/>
        <v>T283</v>
      </c>
      <c r="B284" s="48"/>
      <c r="C284" s="44"/>
      <c r="D284" s="44"/>
      <c r="E284" s="46"/>
      <c r="F284" s="44"/>
      <c r="G284" s="44"/>
    </row>
    <row r="285" spans="1:7" x14ac:dyDescent="0.3">
      <c r="A285" t="str">
        <f t="shared" si="4"/>
        <v>T284</v>
      </c>
      <c r="B285" s="48"/>
      <c r="C285" s="44"/>
      <c r="D285" s="44"/>
      <c r="E285" s="46"/>
      <c r="F285" s="44"/>
      <c r="G285" s="44"/>
    </row>
    <row r="286" spans="1:7" x14ac:dyDescent="0.3">
      <c r="A286" t="str">
        <f t="shared" si="4"/>
        <v>T285</v>
      </c>
      <c r="B286" s="48"/>
      <c r="C286" s="44"/>
      <c r="D286" s="44"/>
      <c r="E286" s="46"/>
      <c r="F286" s="44"/>
      <c r="G286" s="44"/>
    </row>
    <row r="287" spans="1:7" x14ac:dyDescent="0.3">
      <c r="A287" t="str">
        <f t="shared" si="4"/>
        <v>T286</v>
      </c>
      <c r="B287" s="48"/>
      <c r="C287" s="44"/>
      <c r="D287" s="44"/>
      <c r="E287" s="46"/>
      <c r="F287" s="44"/>
      <c r="G287" s="44"/>
    </row>
    <row r="288" spans="1:7" x14ac:dyDescent="0.3">
      <c r="A288" t="str">
        <f t="shared" si="4"/>
        <v>T287</v>
      </c>
      <c r="B288" s="48"/>
      <c r="C288" s="44"/>
      <c r="D288" s="44"/>
      <c r="E288" s="46"/>
      <c r="F288" s="44"/>
      <c r="G288" s="44"/>
    </row>
    <row r="289" spans="1:7" x14ac:dyDescent="0.3">
      <c r="A289" t="str">
        <f t="shared" si="4"/>
        <v>T288</v>
      </c>
      <c r="B289" s="48"/>
      <c r="C289" s="44"/>
      <c r="D289" s="44"/>
      <c r="E289" s="46"/>
      <c r="F289" s="44"/>
      <c r="G289" s="44"/>
    </row>
    <row r="290" spans="1:7" x14ac:dyDescent="0.3">
      <c r="A290" t="str">
        <f t="shared" si="4"/>
        <v>T289</v>
      </c>
      <c r="B290" s="48"/>
      <c r="C290" s="44"/>
      <c r="D290" s="44"/>
      <c r="E290" s="46"/>
      <c r="F290" s="44"/>
      <c r="G290" s="44"/>
    </row>
    <row r="291" spans="1:7" x14ac:dyDescent="0.3">
      <c r="A291" t="str">
        <f t="shared" si="4"/>
        <v>T290</v>
      </c>
      <c r="B291" s="48"/>
      <c r="C291" s="44"/>
      <c r="D291" s="44"/>
      <c r="E291" s="46"/>
      <c r="F291" s="44"/>
      <c r="G291" s="44"/>
    </row>
    <row r="292" spans="1:7" x14ac:dyDescent="0.3">
      <c r="A292" t="str">
        <f t="shared" si="4"/>
        <v>T291</v>
      </c>
      <c r="B292" s="48"/>
      <c r="C292" s="44"/>
      <c r="D292" s="44"/>
      <c r="E292" s="46"/>
      <c r="F292" s="44"/>
      <c r="G292" s="44"/>
    </row>
    <row r="293" spans="1:7" x14ac:dyDescent="0.3">
      <c r="A293" t="str">
        <f t="shared" si="4"/>
        <v>T292</v>
      </c>
      <c r="B293" s="48"/>
      <c r="C293" s="44"/>
      <c r="D293" s="44"/>
      <c r="E293" s="46"/>
      <c r="F293" s="44"/>
      <c r="G293" s="44"/>
    </row>
    <row r="294" spans="1:7" x14ac:dyDescent="0.3">
      <c r="A294" t="str">
        <f t="shared" si="4"/>
        <v>T293</v>
      </c>
      <c r="B294" s="48"/>
      <c r="C294" s="44"/>
      <c r="D294" s="44"/>
      <c r="E294" s="46"/>
      <c r="F294" s="44"/>
      <c r="G294" s="44"/>
    </row>
    <row r="295" spans="1:7" x14ac:dyDescent="0.3">
      <c r="A295" t="str">
        <f t="shared" si="4"/>
        <v>T294</v>
      </c>
      <c r="B295" s="48"/>
      <c r="C295" s="44"/>
      <c r="D295" s="44"/>
      <c r="E295" s="46"/>
      <c r="F295" s="44"/>
      <c r="G295" s="44"/>
    </row>
    <row r="296" spans="1:7" x14ac:dyDescent="0.3">
      <c r="A296" t="str">
        <f t="shared" si="4"/>
        <v>T295</v>
      </c>
      <c r="B296" s="48"/>
      <c r="C296" s="44"/>
      <c r="D296" s="44"/>
      <c r="E296" s="46"/>
      <c r="F296" s="44"/>
      <c r="G296" s="44"/>
    </row>
    <row r="297" spans="1:7" x14ac:dyDescent="0.3">
      <c r="A297" t="str">
        <f t="shared" si="4"/>
        <v>T296</v>
      </c>
      <c r="B297" s="48"/>
      <c r="C297" s="44"/>
      <c r="D297" s="44"/>
      <c r="E297" s="46"/>
      <c r="F297" s="44"/>
      <c r="G297" s="44"/>
    </row>
    <row r="298" spans="1:7" x14ac:dyDescent="0.3">
      <c r="A298" t="str">
        <f t="shared" si="4"/>
        <v>T297</v>
      </c>
      <c r="B298" s="48"/>
      <c r="C298" s="44"/>
      <c r="D298" s="44"/>
      <c r="E298" s="46"/>
      <c r="F298" s="44"/>
      <c r="G298" s="44"/>
    </row>
    <row r="299" spans="1:7" x14ac:dyDescent="0.3">
      <c r="A299" t="str">
        <f t="shared" si="4"/>
        <v>T298</v>
      </c>
      <c r="B299" s="48"/>
      <c r="C299" s="44"/>
      <c r="D299" s="44"/>
      <c r="E299" s="46"/>
      <c r="F299" s="44"/>
      <c r="G299" s="44"/>
    </row>
    <row r="300" spans="1:7" x14ac:dyDescent="0.3">
      <c r="A300" t="str">
        <f t="shared" si="4"/>
        <v>T299</v>
      </c>
      <c r="B300" s="48"/>
      <c r="C300" s="44"/>
      <c r="D300" s="44"/>
      <c r="E300" s="46"/>
      <c r="F300" s="44"/>
      <c r="G300" s="44"/>
    </row>
    <row r="301" spans="1:7" x14ac:dyDescent="0.3">
      <c r="A301" t="str">
        <f t="shared" si="4"/>
        <v>T300</v>
      </c>
      <c r="B301" s="48"/>
      <c r="C301" s="44"/>
      <c r="D301" s="44"/>
      <c r="E301" s="46"/>
      <c r="F301" s="44"/>
      <c r="G301" s="44"/>
    </row>
    <row r="302" spans="1:7" x14ac:dyDescent="0.3">
      <c r="A302" t="str">
        <f t="shared" si="4"/>
        <v>T301</v>
      </c>
      <c r="B302" s="48"/>
      <c r="C302" s="44"/>
      <c r="D302" s="44"/>
      <c r="E302" s="46"/>
      <c r="F302" s="44"/>
      <c r="G302" s="44"/>
    </row>
    <row r="303" spans="1:7" x14ac:dyDescent="0.3">
      <c r="A303" t="str">
        <f t="shared" si="4"/>
        <v>T302</v>
      </c>
      <c r="B303" s="48"/>
      <c r="C303" s="44"/>
      <c r="D303" s="44"/>
      <c r="E303" s="46"/>
      <c r="F303" s="44"/>
      <c r="G303" s="44"/>
    </row>
    <row r="304" spans="1:7" x14ac:dyDescent="0.3">
      <c r="A304" t="str">
        <f t="shared" si="4"/>
        <v>T303</v>
      </c>
      <c r="B304" s="48"/>
      <c r="C304" s="44"/>
      <c r="D304" s="44"/>
      <c r="E304" s="46"/>
      <c r="F304" s="44"/>
      <c r="G304" s="44"/>
    </row>
    <row r="305" spans="1:7" x14ac:dyDescent="0.3">
      <c r="A305" t="str">
        <f t="shared" si="4"/>
        <v>T304</v>
      </c>
      <c r="B305" s="48"/>
      <c r="C305" s="44"/>
      <c r="D305" s="44"/>
      <c r="E305" s="46"/>
      <c r="F305" s="44"/>
      <c r="G305" s="44"/>
    </row>
    <row r="306" spans="1:7" x14ac:dyDescent="0.3">
      <c r="A306" t="str">
        <f t="shared" si="4"/>
        <v>T305</v>
      </c>
      <c r="B306" s="48"/>
      <c r="C306" s="44"/>
      <c r="D306" s="44"/>
      <c r="E306" s="46"/>
      <c r="F306" s="44"/>
      <c r="G306" s="44"/>
    </row>
    <row r="307" spans="1:7" x14ac:dyDescent="0.3">
      <c r="A307" t="str">
        <f t="shared" si="4"/>
        <v>T306</v>
      </c>
      <c r="B307" s="48"/>
      <c r="C307" s="44"/>
      <c r="D307" s="44"/>
      <c r="E307" s="46"/>
      <c r="F307" s="44"/>
      <c r="G307" s="44"/>
    </row>
    <row r="308" spans="1:7" x14ac:dyDescent="0.3">
      <c r="A308" t="str">
        <f t="shared" si="4"/>
        <v>T307</v>
      </c>
      <c r="B308" s="48"/>
      <c r="C308" s="44"/>
      <c r="D308" s="44"/>
      <c r="E308" s="46"/>
      <c r="F308" s="44"/>
      <c r="G308" s="44"/>
    </row>
    <row r="309" spans="1:7" x14ac:dyDescent="0.3">
      <c r="A309" t="str">
        <f t="shared" si="4"/>
        <v>T308</v>
      </c>
      <c r="B309" s="48"/>
      <c r="C309" s="44"/>
      <c r="D309" s="44"/>
      <c r="E309" s="46"/>
      <c r="F309" s="44"/>
      <c r="G309" s="44"/>
    </row>
    <row r="310" spans="1:7" x14ac:dyDescent="0.3">
      <c r="A310" t="str">
        <f t="shared" si="4"/>
        <v>T309</v>
      </c>
      <c r="B310" s="48"/>
      <c r="C310" s="44"/>
      <c r="D310" s="44"/>
      <c r="E310" s="46"/>
      <c r="F310" s="44"/>
      <c r="G310" s="44"/>
    </row>
    <row r="311" spans="1:7" x14ac:dyDescent="0.3">
      <c r="A311" t="str">
        <f t="shared" si="4"/>
        <v>T310</v>
      </c>
      <c r="B311" s="48"/>
      <c r="C311" s="44"/>
      <c r="D311" s="44"/>
      <c r="E311" s="46"/>
      <c r="F311" s="44"/>
      <c r="G311" s="44"/>
    </row>
    <row r="312" spans="1:7" x14ac:dyDescent="0.3">
      <c r="A312" t="str">
        <f t="shared" si="4"/>
        <v>T311</v>
      </c>
      <c r="B312" s="48"/>
      <c r="C312" s="44"/>
      <c r="D312" s="44"/>
      <c r="E312" s="46"/>
      <c r="F312" s="44"/>
      <c r="G312" s="44"/>
    </row>
    <row r="313" spans="1:7" x14ac:dyDescent="0.3">
      <c r="A313" t="str">
        <f t="shared" si="4"/>
        <v>T312</v>
      </c>
      <c r="B313" s="48"/>
      <c r="C313" s="44"/>
      <c r="D313" s="44"/>
      <c r="E313" s="46"/>
      <c r="F313" s="44"/>
      <c r="G313" s="44"/>
    </row>
    <row r="314" spans="1:7" x14ac:dyDescent="0.3">
      <c r="A314" t="str">
        <f t="shared" si="4"/>
        <v>T313</v>
      </c>
      <c r="B314" s="48"/>
      <c r="C314" s="44"/>
      <c r="D314" s="44"/>
      <c r="E314" s="46"/>
      <c r="F314" s="44"/>
      <c r="G314" s="44"/>
    </row>
    <row r="315" spans="1:7" x14ac:dyDescent="0.3">
      <c r="A315" t="str">
        <f t="shared" si="4"/>
        <v>T314</v>
      </c>
      <c r="B315" s="48"/>
      <c r="C315" s="44"/>
      <c r="D315" s="44"/>
      <c r="E315" s="46"/>
      <c r="F315" s="44"/>
      <c r="G315" s="44"/>
    </row>
    <row r="316" spans="1:7" x14ac:dyDescent="0.3">
      <c r="A316" t="str">
        <f t="shared" si="4"/>
        <v>T315</v>
      </c>
      <c r="B316" s="48"/>
      <c r="C316" s="44"/>
      <c r="D316" s="44"/>
      <c r="E316" s="46"/>
      <c r="F316" s="44"/>
      <c r="G316" s="44"/>
    </row>
    <row r="317" spans="1:7" x14ac:dyDescent="0.3">
      <c r="A317" t="str">
        <f t="shared" si="4"/>
        <v>T316</v>
      </c>
      <c r="B317" s="48"/>
      <c r="C317" s="44"/>
      <c r="D317" s="44"/>
      <c r="E317" s="46"/>
      <c r="F317" s="44"/>
      <c r="G317" s="44"/>
    </row>
    <row r="318" spans="1:7" x14ac:dyDescent="0.3">
      <c r="A318" t="str">
        <f t="shared" si="4"/>
        <v>T317</v>
      </c>
      <c r="B318" s="48"/>
      <c r="C318" s="44"/>
      <c r="D318" s="44"/>
      <c r="E318" s="46"/>
      <c r="F318" s="44"/>
      <c r="G318" s="44"/>
    </row>
    <row r="319" spans="1:7" x14ac:dyDescent="0.3">
      <c r="A319" t="str">
        <f t="shared" si="4"/>
        <v>T318</v>
      </c>
      <c r="B319" s="48"/>
      <c r="C319" s="44"/>
      <c r="D319" s="44"/>
      <c r="E319" s="46"/>
      <c r="F319" s="44"/>
      <c r="G319" s="44"/>
    </row>
    <row r="320" spans="1:7" x14ac:dyDescent="0.3">
      <c r="A320" t="str">
        <f t="shared" si="4"/>
        <v>T319</v>
      </c>
      <c r="B320" s="48"/>
      <c r="C320" s="44"/>
      <c r="D320" s="44"/>
      <c r="E320" s="46"/>
      <c r="F320" s="44"/>
      <c r="G320" s="44"/>
    </row>
    <row r="321" spans="1:7" x14ac:dyDescent="0.3">
      <c r="A321" t="str">
        <f t="shared" si="4"/>
        <v>T320</v>
      </c>
      <c r="B321" s="48"/>
      <c r="C321" s="44"/>
      <c r="D321" s="44"/>
      <c r="E321" s="46"/>
      <c r="F321" s="44"/>
      <c r="G321" s="44"/>
    </row>
    <row r="322" spans="1:7" x14ac:dyDescent="0.3">
      <c r="A322" t="str">
        <f t="shared" ref="A322:A385" si="5">"T"&amp;TEXT(ROW()-1,"000")</f>
        <v>T321</v>
      </c>
      <c r="B322" s="48"/>
      <c r="C322" s="44"/>
      <c r="D322" s="44"/>
      <c r="E322" s="46"/>
      <c r="F322" s="44"/>
      <c r="G322" s="44"/>
    </row>
    <row r="323" spans="1:7" x14ac:dyDescent="0.3">
      <c r="A323" t="str">
        <f t="shared" si="5"/>
        <v>T322</v>
      </c>
      <c r="B323" s="48"/>
      <c r="C323" s="44"/>
      <c r="D323" s="44"/>
      <c r="E323" s="46"/>
      <c r="F323" s="44"/>
      <c r="G323" s="44"/>
    </row>
    <row r="324" spans="1:7" x14ac:dyDescent="0.3">
      <c r="A324" t="str">
        <f t="shared" si="5"/>
        <v>T323</v>
      </c>
      <c r="B324" s="48"/>
      <c r="C324" s="44"/>
      <c r="D324" s="44"/>
      <c r="E324" s="46"/>
      <c r="F324" s="44"/>
      <c r="G324" s="44"/>
    </row>
    <row r="325" spans="1:7" x14ac:dyDescent="0.3">
      <c r="A325" t="str">
        <f t="shared" si="5"/>
        <v>T324</v>
      </c>
      <c r="B325" s="48"/>
      <c r="C325" s="44"/>
      <c r="D325" s="44"/>
      <c r="E325" s="46"/>
      <c r="F325" s="44"/>
      <c r="G325" s="44"/>
    </row>
    <row r="326" spans="1:7" x14ac:dyDescent="0.3">
      <c r="A326" t="str">
        <f t="shared" si="5"/>
        <v>T325</v>
      </c>
      <c r="B326" s="48"/>
      <c r="C326" s="44"/>
      <c r="D326" s="44"/>
      <c r="E326" s="46"/>
      <c r="F326" s="44"/>
      <c r="G326" s="44"/>
    </row>
    <row r="327" spans="1:7" x14ac:dyDescent="0.3">
      <c r="A327" t="str">
        <f t="shared" si="5"/>
        <v>T326</v>
      </c>
      <c r="B327" s="48"/>
      <c r="C327" s="44"/>
      <c r="D327" s="44"/>
      <c r="E327" s="46"/>
      <c r="F327" s="44"/>
      <c r="G327" s="44"/>
    </row>
    <row r="328" spans="1:7" x14ac:dyDescent="0.3">
      <c r="A328" t="str">
        <f t="shared" si="5"/>
        <v>T327</v>
      </c>
      <c r="B328" s="48"/>
      <c r="C328" s="44"/>
      <c r="D328" s="44"/>
      <c r="E328" s="46"/>
      <c r="F328" s="44"/>
      <c r="G328" s="44"/>
    </row>
    <row r="329" spans="1:7" x14ac:dyDescent="0.3">
      <c r="A329" t="str">
        <f t="shared" si="5"/>
        <v>T328</v>
      </c>
      <c r="B329" s="48"/>
      <c r="C329" s="44"/>
      <c r="D329" s="44"/>
      <c r="E329" s="46"/>
      <c r="F329" s="44"/>
      <c r="G329" s="44"/>
    </row>
    <row r="330" spans="1:7" x14ac:dyDescent="0.3">
      <c r="A330" t="str">
        <f t="shared" si="5"/>
        <v>T329</v>
      </c>
      <c r="B330" s="48"/>
      <c r="C330" s="44"/>
      <c r="D330" s="44"/>
      <c r="E330" s="46"/>
      <c r="F330" s="44"/>
      <c r="G330" s="44"/>
    </row>
    <row r="331" spans="1:7" x14ac:dyDescent="0.3">
      <c r="A331" t="str">
        <f t="shared" si="5"/>
        <v>T330</v>
      </c>
      <c r="B331" s="48"/>
      <c r="C331" s="44"/>
      <c r="D331" s="44"/>
      <c r="E331" s="46"/>
      <c r="F331" s="44"/>
      <c r="G331" s="44"/>
    </row>
    <row r="332" spans="1:7" x14ac:dyDescent="0.3">
      <c r="A332" t="str">
        <f t="shared" si="5"/>
        <v>T331</v>
      </c>
      <c r="B332" s="48"/>
      <c r="C332" s="44"/>
      <c r="D332" s="44"/>
      <c r="E332" s="46"/>
      <c r="F332" s="44"/>
      <c r="G332" s="44"/>
    </row>
    <row r="333" spans="1:7" x14ac:dyDescent="0.3">
      <c r="A333" t="str">
        <f t="shared" si="5"/>
        <v>T332</v>
      </c>
      <c r="B333" s="48"/>
      <c r="C333" s="44"/>
      <c r="D333" s="44"/>
      <c r="E333" s="46"/>
      <c r="F333" s="44"/>
      <c r="G333" s="44"/>
    </row>
    <row r="334" spans="1:7" x14ac:dyDescent="0.3">
      <c r="A334" t="str">
        <f t="shared" si="5"/>
        <v>T333</v>
      </c>
      <c r="B334" s="48"/>
      <c r="C334" s="44"/>
      <c r="D334" s="44"/>
      <c r="E334" s="46"/>
      <c r="F334" s="44"/>
      <c r="G334" s="44"/>
    </row>
    <row r="335" spans="1:7" x14ac:dyDescent="0.3">
      <c r="A335" t="str">
        <f t="shared" si="5"/>
        <v>T334</v>
      </c>
      <c r="B335" s="48"/>
      <c r="C335" s="44"/>
      <c r="D335" s="44"/>
      <c r="E335" s="46"/>
      <c r="F335" s="44"/>
      <c r="G335" s="44"/>
    </row>
    <row r="336" spans="1:7" x14ac:dyDescent="0.3">
      <c r="A336" t="str">
        <f t="shared" si="5"/>
        <v>T335</v>
      </c>
      <c r="B336" s="48"/>
      <c r="C336" s="44"/>
      <c r="D336" s="44"/>
      <c r="E336" s="46"/>
      <c r="F336" s="44"/>
      <c r="G336" s="44"/>
    </row>
    <row r="337" spans="1:7" x14ac:dyDescent="0.3">
      <c r="A337" t="str">
        <f t="shared" si="5"/>
        <v>T336</v>
      </c>
      <c r="B337" s="48"/>
      <c r="C337" s="44"/>
      <c r="D337" s="44"/>
      <c r="E337" s="46"/>
      <c r="F337" s="44"/>
      <c r="G337" s="44"/>
    </row>
    <row r="338" spans="1:7" x14ac:dyDescent="0.3">
      <c r="A338" t="str">
        <f t="shared" si="5"/>
        <v>T337</v>
      </c>
      <c r="B338" s="48"/>
      <c r="C338" s="44"/>
      <c r="D338" s="44"/>
      <c r="E338" s="46"/>
      <c r="F338" s="44"/>
      <c r="G338" s="44"/>
    </row>
    <row r="339" spans="1:7" x14ac:dyDescent="0.3">
      <c r="A339" t="str">
        <f t="shared" si="5"/>
        <v>T338</v>
      </c>
      <c r="B339" s="48"/>
      <c r="C339" s="44"/>
      <c r="D339" s="44"/>
      <c r="E339" s="46"/>
      <c r="F339" s="44"/>
      <c r="G339" s="44"/>
    </row>
    <row r="340" spans="1:7" x14ac:dyDescent="0.3">
      <c r="A340" t="str">
        <f t="shared" si="5"/>
        <v>T339</v>
      </c>
      <c r="B340" s="48"/>
      <c r="C340" s="44"/>
      <c r="D340" s="44"/>
      <c r="E340" s="46"/>
      <c r="F340" s="44"/>
      <c r="G340" s="44"/>
    </row>
    <row r="341" spans="1:7" x14ac:dyDescent="0.3">
      <c r="A341" t="str">
        <f t="shared" si="5"/>
        <v>T340</v>
      </c>
      <c r="B341" s="48"/>
      <c r="C341" s="44"/>
      <c r="D341" s="44"/>
      <c r="E341" s="46"/>
      <c r="F341" s="44"/>
      <c r="G341" s="44"/>
    </row>
    <row r="342" spans="1:7" x14ac:dyDescent="0.3">
      <c r="A342" t="str">
        <f t="shared" si="5"/>
        <v>T341</v>
      </c>
      <c r="B342" s="48"/>
      <c r="C342" s="44"/>
      <c r="D342" s="44"/>
      <c r="E342" s="46"/>
      <c r="F342" s="44"/>
      <c r="G342" s="44"/>
    </row>
    <row r="343" spans="1:7" x14ac:dyDescent="0.3">
      <c r="A343" t="str">
        <f t="shared" si="5"/>
        <v>T342</v>
      </c>
      <c r="B343" s="48"/>
      <c r="C343" s="44"/>
      <c r="D343" s="44"/>
      <c r="E343" s="46"/>
      <c r="F343" s="44"/>
      <c r="G343" s="44"/>
    </row>
    <row r="344" spans="1:7" x14ac:dyDescent="0.3">
      <c r="A344" t="str">
        <f t="shared" si="5"/>
        <v>T343</v>
      </c>
      <c r="B344" s="48"/>
      <c r="C344" s="44"/>
      <c r="D344" s="44"/>
      <c r="E344" s="46"/>
      <c r="F344" s="44"/>
      <c r="G344" s="44"/>
    </row>
    <row r="345" spans="1:7" x14ac:dyDescent="0.3">
      <c r="A345" t="str">
        <f t="shared" si="5"/>
        <v>T344</v>
      </c>
      <c r="B345" s="48"/>
      <c r="C345" s="44"/>
      <c r="D345" s="44"/>
      <c r="E345" s="46"/>
      <c r="F345" s="44"/>
      <c r="G345" s="44"/>
    </row>
    <row r="346" spans="1:7" x14ac:dyDescent="0.3">
      <c r="A346" t="str">
        <f t="shared" si="5"/>
        <v>T345</v>
      </c>
      <c r="B346" s="48"/>
      <c r="C346" s="44"/>
      <c r="D346" s="44"/>
      <c r="E346" s="46"/>
      <c r="F346" s="44"/>
      <c r="G346" s="44"/>
    </row>
    <row r="347" spans="1:7" x14ac:dyDescent="0.3">
      <c r="A347" t="str">
        <f t="shared" si="5"/>
        <v>T346</v>
      </c>
      <c r="B347" s="48"/>
      <c r="C347" s="44"/>
      <c r="D347" s="44"/>
      <c r="E347" s="46"/>
      <c r="F347" s="44"/>
      <c r="G347" s="44"/>
    </row>
    <row r="348" spans="1:7" x14ac:dyDescent="0.3">
      <c r="A348" t="str">
        <f t="shared" si="5"/>
        <v>T347</v>
      </c>
      <c r="B348" s="48"/>
      <c r="C348" s="44"/>
      <c r="D348" s="44"/>
      <c r="E348" s="46"/>
      <c r="F348" s="44"/>
      <c r="G348" s="44"/>
    </row>
    <row r="349" spans="1:7" x14ac:dyDescent="0.3">
      <c r="A349" t="str">
        <f t="shared" si="5"/>
        <v>T348</v>
      </c>
      <c r="B349" s="48"/>
      <c r="C349" s="44"/>
      <c r="D349" s="44"/>
      <c r="E349" s="46"/>
      <c r="F349" s="44"/>
      <c r="G349" s="44"/>
    </row>
    <row r="350" spans="1:7" x14ac:dyDescent="0.3">
      <c r="A350" t="str">
        <f t="shared" si="5"/>
        <v>T349</v>
      </c>
      <c r="B350" s="48"/>
      <c r="C350" s="44"/>
      <c r="D350" s="44"/>
      <c r="E350" s="46"/>
      <c r="F350" s="44"/>
      <c r="G350" s="44"/>
    </row>
    <row r="351" spans="1:7" x14ac:dyDescent="0.3">
      <c r="A351" t="str">
        <f t="shared" si="5"/>
        <v>T350</v>
      </c>
      <c r="B351" s="48"/>
      <c r="C351" s="44"/>
      <c r="D351" s="44"/>
      <c r="E351" s="46"/>
      <c r="F351" s="44"/>
      <c r="G351" s="44"/>
    </row>
    <row r="352" spans="1:7" x14ac:dyDescent="0.3">
      <c r="A352" t="str">
        <f t="shared" si="5"/>
        <v>T351</v>
      </c>
      <c r="B352" s="48"/>
      <c r="C352" s="44"/>
      <c r="D352" s="44"/>
      <c r="E352" s="46"/>
      <c r="F352" s="44"/>
      <c r="G352" s="44"/>
    </row>
    <row r="353" spans="1:7" x14ac:dyDescent="0.3">
      <c r="A353" t="str">
        <f t="shared" si="5"/>
        <v>T352</v>
      </c>
      <c r="B353" s="48"/>
      <c r="C353" s="44"/>
      <c r="D353" s="44"/>
      <c r="E353" s="46"/>
      <c r="F353" s="44"/>
      <c r="G353" s="44"/>
    </row>
    <row r="354" spans="1:7" x14ac:dyDescent="0.3">
      <c r="A354" t="str">
        <f t="shared" si="5"/>
        <v>T353</v>
      </c>
      <c r="B354" s="48"/>
      <c r="C354" s="44"/>
      <c r="D354" s="44"/>
      <c r="E354" s="46"/>
      <c r="F354" s="44"/>
      <c r="G354" s="44"/>
    </row>
    <row r="355" spans="1:7" x14ac:dyDescent="0.3">
      <c r="A355" t="str">
        <f t="shared" si="5"/>
        <v>T354</v>
      </c>
      <c r="B355" s="48"/>
      <c r="C355" s="44"/>
      <c r="D355" s="44"/>
      <c r="E355" s="46"/>
      <c r="F355" s="44"/>
      <c r="G355" s="44"/>
    </row>
    <row r="356" spans="1:7" x14ac:dyDescent="0.3">
      <c r="A356" t="str">
        <f t="shared" si="5"/>
        <v>T355</v>
      </c>
      <c r="B356" s="48"/>
      <c r="C356" s="44"/>
      <c r="D356" s="44"/>
      <c r="E356" s="46"/>
      <c r="F356" s="44"/>
      <c r="G356" s="44"/>
    </row>
    <row r="357" spans="1:7" x14ac:dyDescent="0.3">
      <c r="A357" t="str">
        <f t="shared" si="5"/>
        <v>T356</v>
      </c>
      <c r="B357" s="48"/>
      <c r="C357" s="44"/>
      <c r="D357" s="44"/>
      <c r="E357" s="46"/>
      <c r="F357" s="44"/>
      <c r="G357" s="44"/>
    </row>
    <row r="358" spans="1:7" x14ac:dyDescent="0.3">
      <c r="A358" t="str">
        <f t="shared" si="5"/>
        <v>T357</v>
      </c>
      <c r="B358" s="48"/>
      <c r="C358" s="44"/>
      <c r="D358" s="44"/>
      <c r="E358" s="46"/>
      <c r="F358" s="44"/>
      <c r="G358" s="44"/>
    </row>
    <row r="359" spans="1:7" x14ac:dyDescent="0.3">
      <c r="A359" t="str">
        <f t="shared" si="5"/>
        <v>T358</v>
      </c>
      <c r="B359" s="48"/>
      <c r="C359" s="44"/>
      <c r="D359" s="44"/>
      <c r="E359" s="46"/>
      <c r="F359" s="44"/>
      <c r="G359" s="44"/>
    </row>
    <row r="360" spans="1:7" x14ac:dyDescent="0.3">
      <c r="A360" t="str">
        <f t="shared" si="5"/>
        <v>T359</v>
      </c>
      <c r="B360" s="48"/>
      <c r="C360" s="44"/>
      <c r="D360" s="44"/>
      <c r="E360" s="46"/>
      <c r="F360" s="44"/>
      <c r="G360" s="44"/>
    </row>
    <row r="361" spans="1:7" x14ac:dyDescent="0.3">
      <c r="A361" t="str">
        <f t="shared" si="5"/>
        <v>T360</v>
      </c>
      <c r="B361" s="48"/>
      <c r="C361" s="44"/>
      <c r="D361" s="44"/>
      <c r="E361" s="46"/>
      <c r="F361" s="44"/>
      <c r="G361" s="44"/>
    </row>
    <row r="362" spans="1:7" x14ac:dyDescent="0.3">
      <c r="A362" t="str">
        <f t="shared" si="5"/>
        <v>T361</v>
      </c>
      <c r="B362" s="48"/>
      <c r="C362" s="44"/>
      <c r="D362" s="44"/>
      <c r="E362" s="46"/>
      <c r="F362" s="44"/>
      <c r="G362" s="44"/>
    </row>
    <row r="363" spans="1:7" x14ac:dyDescent="0.3">
      <c r="A363" t="str">
        <f t="shared" si="5"/>
        <v>T362</v>
      </c>
      <c r="B363" s="48"/>
      <c r="C363" s="44"/>
      <c r="D363" s="44"/>
      <c r="E363" s="46"/>
      <c r="F363" s="44"/>
      <c r="G363" s="44"/>
    </row>
    <row r="364" spans="1:7" x14ac:dyDescent="0.3">
      <c r="A364" t="str">
        <f t="shared" si="5"/>
        <v>T363</v>
      </c>
      <c r="B364" s="48"/>
      <c r="C364" s="44"/>
      <c r="D364" s="44"/>
      <c r="E364" s="46"/>
      <c r="F364" s="44"/>
      <c r="G364" s="44"/>
    </row>
    <row r="365" spans="1:7" x14ac:dyDescent="0.3">
      <c r="A365" t="str">
        <f t="shared" si="5"/>
        <v>T364</v>
      </c>
      <c r="B365" s="48"/>
      <c r="C365" s="44"/>
      <c r="D365" s="44"/>
      <c r="E365" s="46"/>
      <c r="F365" s="44"/>
      <c r="G365" s="44"/>
    </row>
    <row r="366" spans="1:7" x14ac:dyDescent="0.3">
      <c r="A366" t="str">
        <f t="shared" si="5"/>
        <v>T365</v>
      </c>
      <c r="B366" s="48"/>
      <c r="C366" s="44"/>
      <c r="D366" s="44"/>
      <c r="E366" s="46"/>
      <c r="F366" s="44"/>
      <c r="G366" s="44"/>
    </row>
    <row r="367" spans="1:7" x14ac:dyDescent="0.3">
      <c r="A367" t="str">
        <f t="shared" si="5"/>
        <v>T366</v>
      </c>
      <c r="B367" s="48"/>
      <c r="C367" s="44"/>
      <c r="D367" s="44"/>
      <c r="E367" s="46"/>
      <c r="F367" s="44"/>
      <c r="G367" s="44"/>
    </row>
    <row r="368" spans="1:7" x14ac:dyDescent="0.3">
      <c r="A368" t="str">
        <f t="shared" si="5"/>
        <v>T367</v>
      </c>
      <c r="B368" s="48"/>
      <c r="C368" s="44"/>
      <c r="D368" s="44"/>
      <c r="E368" s="46"/>
      <c r="F368" s="44"/>
      <c r="G368" s="44"/>
    </row>
    <row r="369" spans="1:7" x14ac:dyDescent="0.3">
      <c r="A369" t="str">
        <f t="shared" si="5"/>
        <v>T368</v>
      </c>
      <c r="B369" s="48"/>
      <c r="C369" s="44"/>
      <c r="D369" s="44"/>
      <c r="E369" s="46"/>
      <c r="F369" s="44"/>
      <c r="G369" s="44"/>
    </row>
    <row r="370" spans="1:7" x14ac:dyDescent="0.3">
      <c r="A370" t="str">
        <f t="shared" si="5"/>
        <v>T369</v>
      </c>
      <c r="B370" s="48"/>
      <c r="C370" s="44"/>
      <c r="D370" s="44"/>
      <c r="E370" s="46"/>
      <c r="F370" s="44"/>
      <c r="G370" s="44"/>
    </row>
    <row r="371" spans="1:7" x14ac:dyDescent="0.3">
      <c r="A371" t="str">
        <f t="shared" si="5"/>
        <v>T370</v>
      </c>
      <c r="B371" s="48"/>
      <c r="C371" s="44"/>
      <c r="D371" s="44"/>
      <c r="E371" s="46"/>
      <c r="F371" s="44"/>
      <c r="G371" s="44"/>
    </row>
    <row r="372" spans="1:7" x14ac:dyDescent="0.3">
      <c r="A372" t="str">
        <f t="shared" si="5"/>
        <v>T371</v>
      </c>
      <c r="B372" s="48"/>
      <c r="C372" s="44"/>
      <c r="D372" s="44"/>
      <c r="E372" s="46"/>
      <c r="F372" s="44"/>
      <c r="G372" s="44"/>
    </row>
    <row r="373" spans="1:7" x14ac:dyDescent="0.3">
      <c r="A373" t="str">
        <f t="shared" si="5"/>
        <v>T372</v>
      </c>
      <c r="B373" s="48"/>
      <c r="C373" s="44"/>
      <c r="D373" s="44"/>
      <c r="E373" s="46"/>
      <c r="F373" s="44"/>
      <c r="G373" s="44"/>
    </row>
    <row r="374" spans="1:7" x14ac:dyDescent="0.3">
      <c r="A374" t="str">
        <f t="shared" si="5"/>
        <v>T373</v>
      </c>
      <c r="B374" s="48"/>
      <c r="C374" s="44"/>
      <c r="D374" s="44"/>
      <c r="E374" s="46"/>
      <c r="F374" s="44"/>
      <c r="G374" s="44"/>
    </row>
    <row r="375" spans="1:7" x14ac:dyDescent="0.3">
      <c r="A375" t="str">
        <f t="shared" si="5"/>
        <v>T374</v>
      </c>
      <c r="B375" s="48"/>
      <c r="C375" s="44"/>
      <c r="D375" s="44"/>
      <c r="E375" s="46"/>
      <c r="F375" s="44"/>
      <c r="G375" s="44"/>
    </row>
    <row r="376" spans="1:7" x14ac:dyDescent="0.3">
      <c r="A376" t="str">
        <f t="shared" si="5"/>
        <v>T375</v>
      </c>
      <c r="B376" s="48"/>
      <c r="C376" s="44"/>
      <c r="D376" s="44"/>
      <c r="E376" s="46"/>
      <c r="F376" s="44"/>
      <c r="G376" s="44"/>
    </row>
    <row r="377" spans="1:7" x14ac:dyDescent="0.3">
      <c r="A377" t="str">
        <f t="shared" si="5"/>
        <v>T376</v>
      </c>
      <c r="B377" s="48"/>
      <c r="C377" s="44"/>
      <c r="D377" s="44"/>
      <c r="E377" s="46"/>
      <c r="F377" s="44"/>
      <c r="G377" s="44"/>
    </row>
    <row r="378" spans="1:7" x14ac:dyDescent="0.3">
      <c r="A378" t="str">
        <f t="shared" si="5"/>
        <v>T377</v>
      </c>
      <c r="B378" s="48"/>
      <c r="C378" s="44"/>
      <c r="D378" s="44"/>
      <c r="E378" s="46"/>
      <c r="F378" s="44"/>
      <c r="G378" s="44"/>
    </row>
    <row r="379" spans="1:7" x14ac:dyDescent="0.3">
      <c r="A379" t="str">
        <f t="shared" si="5"/>
        <v>T378</v>
      </c>
      <c r="B379" s="48"/>
      <c r="C379" s="44"/>
      <c r="D379" s="44"/>
      <c r="E379" s="46"/>
      <c r="F379" s="44"/>
      <c r="G379" s="44"/>
    </row>
    <row r="380" spans="1:7" x14ac:dyDescent="0.3">
      <c r="A380" t="str">
        <f t="shared" si="5"/>
        <v>T379</v>
      </c>
      <c r="B380" s="48"/>
      <c r="C380" s="44"/>
      <c r="D380" s="44"/>
      <c r="E380" s="46"/>
      <c r="F380" s="44"/>
      <c r="G380" s="44"/>
    </row>
    <row r="381" spans="1:7" x14ac:dyDescent="0.3">
      <c r="A381" t="str">
        <f t="shared" si="5"/>
        <v>T380</v>
      </c>
      <c r="B381" s="48"/>
      <c r="C381" s="44"/>
      <c r="D381" s="44"/>
      <c r="E381" s="46"/>
      <c r="F381" s="44"/>
      <c r="G381" s="44"/>
    </row>
    <row r="382" spans="1:7" x14ac:dyDescent="0.3">
      <c r="A382" t="str">
        <f t="shared" si="5"/>
        <v>T381</v>
      </c>
      <c r="B382" s="48"/>
      <c r="C382" s="44"/>
      <c r="D382" s="44"/>
      <c r="E382" s="46"/>
      <c r="F382" s="44"/>
      <c r="G382" s="44"/>
    </row>
    <row r="383" spans="1:7" x14ac:dyDescent="0.3">
      <c r="A383" t="str">
        <f t="shared" si="5"/>
        <v>T382</v>
      </c>
      <c r="B383" s="48"/>
      <c r="C383" s="44"/>
      <c r="D383" s="44"/>
      <c r="E383" s="46"/>
      <c r="F383" s="44"/>
      <c r="G383" s="44"/>
    </row>
    <row r="384" spans="1:7" x14ac:dyDescent="0.3">
      <c r="A384" t="str">
        <f t="shared" si="5"/>
        <v>T383</v>
      </c>
      <c r="B384" s="48"/>
      <c r="C384" s="44"/>
      <c r="D384" s="44"/>
      <c r="E384" s="46"/>
      <c r="F384" s="44"/>
      <c r="G384" s="44"/>
    </row>
    <row r="385" spans="1:7" x14ac:dyDescent="0.3">
      <c r="A385" t="str">
        <f t="shared" si="5"/>
        <v>T384</v>
      </c>
      <c r="B385" s="48"/>
      <c r="C385" s="44"/>
      <c r="D385" s="44"/>
      <c r="E385" s="46"/>
      <c r="F385" s="44"/>
      <c r="G385" s="44"/>
    </row>
    <row r="386" spans="1:7" x14ac:dyDescent="0.3">
      <c r="A386" t="str">
        <f t="shared" ref="A386:A449" si="6">"T"&amp;TEXT(ROW()-1,"000")</f>
        <v>T385</v>
      </c>
      <c r="B386" s="48"/>
      <c r="C386" s="44"/>
      <c r="D386" s="44"/>
      <c r="E386" s="46"/>
      <c r="F386" s="44"/>
      <c r="G386" s="44"/>
    </row>
    <row r="387" spans="1:7" x14ac:dyDescent="0.3">
      <c r="A387" t="str">
        <f t="shared" si="6"/>
        <v>T386</v>
      </c>
      <c r="B387" s="48"/>
      <c r="C387" s="44"/>
      <c r="D387" s="44"/>
      <c r="E387" s="46"/>
      <c r="F387" s="44"/>
      <c r="G387" s="44"/>
    </row>
    <row r="388" spans="1:7" x14ac:dyDescent="0.3">
      <c r="A388" t="str">
        <f t="shared" si="6"/>
        <v>T387</v>
      </c>
      <c r="B388" s="48"/>
      <c r="C388" s="44"/>
      <c r="D388" s="44"/>
      <c r="E388" s="46"/>
      <c r="F388" s="44"/>
      <c r="G388" s="44"/>
    </row>
    <row r="389" spans="1:7" x14ac:dyDescent="0.3">
      <c r="A389" t="str">
        <f t="shared" si="6"/>
        <v>T388</v>
      </c>
      <c r="B389" s="48"/>
      <c r="C389" s="44"/>
      <c r="D389" s="44"/>
      <c r="E389" s="46"/>
      <c r="F389" s="44"/>
      <c r="G389" s="44"/>
    </row>
    <row r="390" spans="1:7" x14ac:dyDescent="0.3">
      <c r="A390" t="str">
        <f t="shared" si="6"/>
        <v>T389</v>
      </c>
      <c r="B390" s="48"/>
      <c r="C390" s="44"/>
      <c r="D390" s="44"/>
      <c r="E390" s="46"/>
      <c r="F390" s="44"/>
      <c r="G390" s="44"/>
    </row>
    <row r="391" spans="1:7" x14ac:dyDescent="0.3">
      <c r="A391" t="str">
        <f t="shared" si="6"/>
        <v>T390</v>
      </c>
      <c r="B391" s="48"/>
      <c r="C391" s="44"/>
      <c r="D391" s="44"/>
      <c r="E391" s="46"/>
      <c r="F391" s="44"/>
      <c r="G391" s="44"/>
    </row>
    <row r="392" spans="1:7" x14ac:dyDescent="0.3">
      <c r="A392" t="str">
        <f t="shared" si="6"/>
        <v>T391</v>
      </c>
      <c r="B392" s="48"/>
      <c r="C392" s="44"/>
      <c r="D392" s="44"/>
      <c r="E392" s="46"/>
      <c r="F392" s="44"/>
      <c r="G392" s="44"/>
    </row>
    <row r="393" spans="1:7" x14ac:dyDescent="0.3">
      <c r="A393" t="str">
        <f t="shared" si="6"/>
        <v>T392</v>
      </c>
      <c r="B393" s="48"/>
      <c r="C393" s="44"/>
      <c r="D393" s="44"/>
      <c r="E393" s="46"/>
      <c r="F393" s="44"/>
      <c r="G393" s="44"/>
    </row>
    <row r="394" spans="1:7" x14ac:dyDescent="0.3">
      <c r="A394" t="str">
        <f t="shared" si="6"/>
        <v>T393</v>
      </c>
      <c r="B394" s="48"/>
      <c r="C394" s="44"/>
      <c r="D394" s="44"/>
      <c r="E394" s="46"/>
      <c r="F394" s="44"/>
      <c r="G394" s="44"/>
    </row>
    <row r="395" spans="1:7" x14ac:dyDescent="0.3">
      <c r="A395" t="str">
        <f t="shared" si="6"/>
        <v>T394</v>
      </c>
      <c r="B395" s="48"/>
      <c r="C395" s="44"/>
      <c r="D395" s="44"/>
      <c r="E395" s="46"/>
      <c r="F395" s="44"/>
      <c r="G395" s="44"/>
    </row>
    <row r="396" spans="1:7" x14ac:dyDescent="0.3">
      <c r="A396" t="str">
        <f t="shared" si="6"/>
        <v>T395</v>
      </c>
      <c r="B396" s="48"/>
      <c r="C396" s="44"/>
      <c r="D396" s="44"/>
      <c r="E396" s="46"/>
      <c r="F396" s="44"/>
      <c r="G396" s="44"/>
    </row>
    <row r="397" spans="1:7" x14ac:dyDescent="0.3">
      <c r="A397" t="str">
        <f t="shared" si="6"/>
        <v>T396</v>
      </c>
      <c r="B397" s="48"/>
      <c r="C397" s="44"/>
      <c r="D397" s="44"/>
      <c r="E397" s="46"/>
      <c r="F397" s="44"/>
      <c r="G397" s="44"/>
    </row>
    <row r="398" spans="1:7" x14ac:dyDescent="0.3">
      <c r="A398" t="str">
        <f t="shared" si="6"/>
        <v>T397</v>
      </c>
      <c r="B398" s="48"/>
      <c r="C398" s="44"/>
      <c r="D398" s="44"/>
      <c r="E398" s="46"/>
      <c r="F398" s="44"/>
      <c r="G398" s="44"/>
    </row>
    <row r="399" spans="1:7" x14ac:dyDescent="0.3">
      <c r="A399" t="str">
        <f t="shared" si="6"/>
        <v>T398</v>
      </c>
      <c r="B399" s="48"/>
      <c r="C399" s="44"/>
      <c r="D399" s="44"/>
      <c r="E399" s="46"/>
      <c r="F399" s="44"/>
      <c r="G399" s="44"/>
    </row>
    <row r="400" spans="1:7" x14ac:dyDescent="0.3">
      <c r="A400" t="str">
        <f t="shared" si="6"/>
        <v>T399</v>
      </c>
      <c r="B400" s="48"/>
      <c r="C400" s="44"/>
      <c r="D400" s="44"/>
      <c r="E400" s="46"/>
      <c r="F400" s="44"/>
      <c r="G400" s="44"/>
    </row>
    <row r="401" spans="1:7" x14ac:dyDescent="0.3">
      <c r="A401" t="str">
        <f t="shared" si="6"/>
        <v>T400</v>
      </c>
      <c r="B401" s="48"/>
      <c r="C401" s="44"/>
      <c r="D401" s="44"/>
      <c r="E401" s="46"/>
      <c r="F401" s="44"/>
      <c r="G401" s="44"/>
    </row>
    <row r="402" spans="1:7" x14ac:dyDescent="0.3">
      <c r="A402" t="str">
        <f t="shared" si="6"/>
        <v>T401</v>
      </c>
      <c r="B402" s="48"/>
      <c r="C402" s="44"/>
      <c r="D402" s="44"/>
      <c r="E402" s="46"/>
      <c r="F402" s="44"/>
      <c r="G402" s="44"/>
    </row>
    <row r="403" spans="1:7" x14ac:dyDescent="0.3">
      <c r="A403" t="str">
        <f t="shared" si="6"/>
        <v>T402</v>
      </c>
      <c r="B403" s="48"/>
      <c r="C403" s="44"/>
      <c r="D403" s="44"/>
      <c r="E403" s="46"/>
      <c r="F403" s="44"/>
      <c r="G403" s="44"/>
    </row>
    <row r="404" spans="1:7" x14ac:dyDescent="0.3">
      <c r="A404" t="str">
        <f t="shared" si="6"/>
        <v>T403</v>
      </c>
      <c r="B404" s="48"/>
      <c r="C404" s="44"/>
      <c r="D404" s="44"/>
      <c r="E404" s="46"/>
      <c r="F404" s="44"/>
      <c r="G404" s="44"/>
    </row>
    <row r="405" spans="1:7" x14ac:dyDescent="0.3">
      <c r="A405" t="str">
        <f t="shared" si="6"/>
        <v>T404</v>
      </c>
      <c r="B405" s="48"/>
      <c r="C405" s="44"/>
      <c r="D405" s="44"/>
      <c r="E405" s="46"/>
      <c r="F405" s="44"/>
      <c r="G405" s="44"/>
    </row>
    <row r="406" spans="1:7" x14ac:dyDescent="0.3">
      <c r="A406" t="str">
        <f t="shared" si="6"/>
        <v>T405</v>
      </c>
      <c r="B406" s="48"/>
      <c r="C406" s="44"/>
      <c r="D406" s="44"/>
      <c r="E406" s="46"/>
      <c r="F406" s="44"/>
      <c r="G406" s="44"/>
    </row>
    <row r="407" spans="1:7" x14ac:dyDescent="0.3">
      <c r="A407" t="str">
        <f t="shared" si="6"/>
        <v>T406</v>
      </c>
      <c r="B407" s="48"/>
      <c r="C407" s="44"/>
      <c r="D407" s="44"/>
      <c r="E407" s="46"/>
      <c r="F407" s="44"/>
      <c r="G407" s="44"/>
    </row>
    <row r="408" spans="1:7" x14ac:dyDescent="0.3">
      <c r="A408" t="str">
        <f t="shared" si="6"/>
        <v>T407</v>
      </c>
      <c r="B408" s="48"/>
      <c r="C408" s="44"/>
      <c r="D408" s="44"/>
      <c r="E408" s="46"/>
      <c r="F408" s="44"/>
      <c r="G408" s="44"/>
    </row>
    <row r="409" spans="1:7" x14ac:dyDescent="0.3">
      <c r="A409" t="str">
        <f t="shared" si="6"/>
        <v>T408</v>
      </c>
      <c r="B409" s="48"/>
      <c r="C409" s="44"/>
      <c r="D409" s="44"/>
      <c r="E409" s="46"/>
      <c r="F409" s="44"/>
      <c r="G409" s="44"/>
    </row>
    <row r="410" spans="1:7" x14ac:dyDescent="0.3">
      <c r="A410" t="str">
        <f t="shared" si="6"/>
        <v>T409</v>
      </c>
      <c r="B410" s="48"/>
      <c r="C410" s="44"/>
      <c r="D410" s="44"/>
      <c r="E410" s="46"/>
      <c r="F410" s="44"/>
      <c r="G410" s="44"/>
    </row>
    <row r="411" spans="1:7" x14ac:dyDescent="0.3">
      <c r="A411" t="str">
        <f t="shared" si="6"/>
        <v>T410</v>
      </c>
      <c r="B411" s="48"/>
      <c r="C411" s="44"/>
      <c r="D411" s="44"/>
      <c r="E411" s="46"/>
      <c r="F411" s="44"/>
      <c r="G411" s="44"/>
    </row>
    <row r="412" spans="1:7" x14ac:dyDescent="0.3">
      <c r="A412" t="str">
        <f t="shared" si="6"/>
        <v>T411</v>
      </c>
      <c r="B412" s="48"/>
      <c r="C412" s="44"/>
      <c r="D412" s="44"/>
      <c r="E412" s="46"/>
      <c r="F412" s="44"/>
      <c r="G412" s="44"/>
    </row>
    <row r="413" spans="1:7" x14ac:dyDescent="0.3">
      <c r="A413" t="str">
        <f t="shared" si="6"/>
        <v>T412</v>
      </c>
      <c r="B413" s="48"/>
      <c r="C413" s="44"/>
      <c r="D413" s="44"/>
      <c r="E413" s="46"/>
      <c r="F413" s="44"/>
      <c r="G413" s="44"/>
    </row>
    <row r="414" spans="1:7" x14ac:dyDescent="0.3">
      <c r="A414" t="str">
        <f t="shared" si="6"/>
        <v>T413</v>
      </c>
      <c r="B414" s="48"/>
      <c r="C414" s="44"/>
      <c r="D414" s="44"/>
      <c r="E414" s="46"/>
      <c r="F414" s="44"/>
      <c r="G414" s="44"/>
    </row>
    <row r="415" spans="1:7" x14ac:dyDescent="0.3">
      <c r="A415" t="str">
        <f t="shared" si="6"/>
        <v>T414</v>
      </c>
      <c r="B415" s="48"/>
      <c r="C415" s="44"/>
      <c r="D415" s="44"/>
      <c r="E415" s="46"/>
      <c r="F415" s="44"/>
      <c r="G415" s="44"/>
    </row>
    <row r="416" spans="1:7" x14ac:dyDescent="0.3">
      <c r="A416" t="str">
        <f t="shared" si="6"/>
        <v>T415</v>
      </c>
      <c r="B416" s="48"/>
      <c r="C416" s="44"/>
      <c r="D416" s="44"/>
      <c r="E416" s="46"/>
      <c r="F416" s="44"/>
      <c r="G416" s="44"/>
    </row>
    <row r="417" spans="1:7" x14ac:dyDescent="0.3">
      <c r="A417" t="str">
        <f t="shared" si="6"/>
        <v>T416</v>
      </c>
      <c r="B417" s="48"/>
      <c r="C417" s="44"/>
      <c r="D417" s="44"/>
      <c r="E417" s="46"/>
      <c r="F417" s="44"/>
      <c r="G417" s="44"/>
    </row>
    <row r="418" spans="1:7" x14ac:dyDescent="0.3">
      <c r="A418" t="str">
        <f t="shared" si="6"/>
        <v>T417</v>
      </c>
      <c r="B418" s="48"/>
      <c r="C418" s="44"/>
      <c r="D418" s="44"/>
      <c r="E418" s="46"/>
      <c r="F418" s="44"/>
      <c r="G418" s="44"/>
    </row>
    <row r="419" spans="1:7" x14ac:dyDescent="0.3">
      <c r="A419" t="str">
        <f t="shared" si="6"/>
        <v>T418</v>
      </c>
      <c r="B419" s="48"/>
      <c r="C419" s="44"/>
      <c r="D419" s="44"/>
      <c r="E419" s="46"/>
      <c r="F419" s="44"/>
      <c r="G419" s="44"/>
    </row>
    <row r="420" spans="1:7" x14ac:dyDescent="0.3">
      <c r="A420" t="str">
        <f t="shared" si="6"/>
        <v>T419</v>
      </c>
      <c r="B420" s="48"/>
      <c r="C420" s="44"/>
      <c r="D420" s="44"/>
      <c r="E420" s="46"/>
      <c r="F420" s="44"/>
      <c r="G420" s="44"/>
    </row>
    <row r="421" spans="1:7" x14ac:dyDescent="0.3">
      <c r="A421" t="str">
        <f t="shared" si="6"/>
        <v>T420</v>
      </c>
      <c r="B421" s="48"/>
      <c r="C421" s="44"/>
      <c r="D421" s="44"/>
      <c r="E421" s="46"/>
      <c r="F421" s="44"/>
      <c r="G421" s="44"/>
    </row>
    <row r="422" spans="1:7" x14ac:dyDescent="0.3">
      <c r="A422" t="str">
        <f t="shared" si="6"/>
        <v>T421</v>
      </c>
      <c r="B422" s="48"/>
      <c r="C422" s="44"/>
      <c r="D422" s="44"/>
      <c r="E422" s="46"/>
      <c r="F422" s="44"/>
      <c r="G422" s="44"/>
    </row>
    <row r="423" spans="1:7" x14ac:dyDescent="0.3">
      <c r="A423" t="str">
        <f t="shared" si="6"/>
        <v>T422</v>
      </c>
      <c r="B423" s="48"/>
      <c r="C423" s="44"/>
      <c r="D423" s="44"/>
      <c r="E423" s="46"/>
      <c r="F423" s="44"/>
      <c r="G423" s="44"/>
    </row>
    <row r="424" spans="1:7" x14ac:dyDescent="0.3">
      <c r="A424" t="str">
        <f t="shared" si="6"/>
        <v>T423</v>
      </c>
      <c r="B424" s="48"/>
      <c r="C424" s="44"/>
      <c r="D424" s="44"/>
      <c r="E424" s="46"/>
      <c r="F424" s="44"/>
      <c r="G424" s="44"/>
    </row>
    <row r="425" spans="1:7" x14ac:dyDescent="0.3">
      <c r="A425" t="str">
        <f t="shared" si="6"/>
        <v>T424</v>
      </c>
      <c r="B425" s="48"/>
      <c r="C425" s="44"/>
      <c r="D425" s="44"/>
      <c r="E425" s="46"/>
      <c r="F425" s="44"/>
      <c r="G425" s="44"/>
    </row>
    <row r="426" spans="1:7" x14ac:dyDescent="0.3">
      <c r="A426" t="str">
        <f t="shared" si="6"/>
        <v>T425</v>
      </c>
      <c r="B426" s="48"/>
      <c r="C426" s="44"/>
      <c r="D426" s="44"/>
      <c r="E426" s="46"/>
      <c r="F426" s="44"/>
      <c r="G426" s="44"/>
    </row>
    <row r="427" spans="1:7" x14ac:dyDescent="0.3">
      <c r="A427" t="str">
        <f t="shared" si="6"/>
        <v>T426</v>
      </c>
      <c r="B427" s="48"/>
      <c r="C427" s="44"/>
      <c r="D427" s="44"/>
      <c r="E427" s="46"/>
      <c r="F427" s="44"/>
      <c r="G427" s="44"/>
    </row>
    <row r="428" spans="1:7" x14ac:dyDescent="0.3">
      <c r="A428" t="str">
        <f t="shared" si="6"/>
        <v>T427</v>
      </c>
      <c r="B428" s="48"/>
      <c r="C428" s="44"/>
      <c r="D428" s="44"/>
      <c r="E428" s="46"/>
      <c r="F428" s="44"/>
      <c r="G428" s="44"/>
    </row>
    <row r="429" spans="1:7" x14ac:dyDescent="0.3">
      <c r="A429" t="str">
        <f t="shared" si="6"/>
        <v>T428</v>
      </c>
      <c r="B429" s="48"/>
      <c r="C429" s="44"/>
      <c r="D429" s="44"/>
      <c r="E429" s="46"/>
      <c r="F429" s="44"/>
      <c r="G429" s="44"/>
    </row>
    <row r="430" spans="1:7" x14ac:dyDescent="0.3">
      <c r="A430" t="str">
        <f t="shared" si="6"/>
        <v>T429</v>
      </c>
      <c r="B430" s="48"/>
      <c r="C430" s="44"/>
      <c r="D430" s="44"/>
      <c r="E430" s="46"/>
      <c r="F430" s="44"/>
      <c r="G430" s="44"/>
    </row>
    <row r="431" spans="1:7" x14ac:dyDescent="0.3">
      <c r="A431" t="str">
        <f t="shared" si="6"/>
        <v>T430</v>
      </c>
      <c r="B431" s="48"/>
      <c r="C431" s="44"/>
      <c r="D431" s="44"/>
      <c r="E431" s="46"/>
      <c r="F431" s="44"/>
      <c r="G431" s="44"/>
    </row>
    <row r="432" spans="1:7" x14ac:dyDescent="0.3">
      <c r="A432" t="str">
        <f t="shared" si="6"/>
        <v>T431</v>
      </c>
      <c r="B432" s="48"/>
      <c r="C432" s="44"/>
      <c r="D432" s="44"/>
      <c r="E432" s="46"/>
      <c r="F432" s="44"/>
      <c r="G432" s="44"/>
    </row>
    <row r="433" spans="1:7" x14ac:dyDescent="0.3">
      <c r="A433" t="str">
        <f t="shared" si="6"/>
        <v>T432</v>
      </c>
      <c r="B433" s="48"/>
      <c r="C433" s="44"/>
      <c r="D433" s="44"/>
      <c r="E433" s="46"/>
      <c r="F433" s="44"/>
      <c r="G433" s="44"/>
    </row>
    <row r="434" spans="1:7" x14ac:dyDescent="0.3">
      <c r="A434" t="str">
        <f t="shared" si="6"/>
        <v>T433</v>
      </c>
      <c r="B434" s="48"/>
      <c r="C434" s="44"/>
      <c r="D434" s="44"/>
      <c r="E434" s="46"/>
      <c r="F434" s="44"/>
      <c r="G434" s="44"/>
    </row>
    <row r="435" spans="1:7" x14ac:dyDescent="0.3">
      <c r="A435" t="str">
        <f t="shared" si="6"/>
        <v>T434</v>
      </c>
      <c r="B435" s="48"/>
      <c r="C435" s="44"/>
      <c r="D435" s="44"/>
      <c r="E435" s="46"/>
      <c r="F435" s="44"/>
      <c r="G435" s="44"/>
    </row>
    <row r="436" spans="1:7" x14ac:dyDescent="0.3">
      <c r="A436" t="str">
        <f t="shared" si="6"/>
        <v>T435</v>
      </c>
      <c r="B436" s="48"/>
      <c r="C436" s="44"/>
      <c r="D436" s="44"/>
      <c r="E436" s="46"/>
      <c r="F436" s="44"/>
      <c r="G436" s="44"/>
    </row>
    <row r="437" spans="1:7" x14ac:dyDescent="0.3">
      <c r="A437" t="str">
        <f t="shared" si="6"/>
        <v>T436</v>
      </c>
      <c r="B437" s="48"/>
      <c r="C437" s="44"/>
      <c r="D437" s="44"/>
      <c r="E437" s="46"/>
      <c r="F437" s="44"/>
      <c r="G437" s="44"/>
    </row>
    <row r="438" spans="1:7" x14ac:dyDescent="0.3">
      <c r="A438" t="str">
        <f t="shared" si="6"/>
        <v>T437</v>
      </c>
      <c r="B438" s="48"/>
      <c r="C438" s="44"/>
      <c r="D438" s="44"/>
      <c r="E438" s="46"/>
      <c r="F438" s="44"/>
      <c r="G438" s="44"/>
    </row>
    <row r="439" spans="1:7" x14ac:dyDescent="0.3">
      <c r="A439" t="str">
        <f t="shared" si="6"/>
        <v>T438</v>
      </c>
      <c r="B439" s="48"/>
      <c r="C439" s="44"/>
      <c r="D439" s="44"/>
      <c r="E439" s="46"/>
      <c r="F439" s="44"/>
      <c r="G439" s="44"/>
    </row>
    <row r="440" spans="1:7" x14ac:dyDescent="0.3">
      <c r="A440" t="str">
        <f t="shared" si="6"/>
        <v>T439</v>
      </c>
      <c r="B440" s="48"/>
      <c r="C440" s="44"/>
      <c r="D440" s="44"/>
      <c r="E440" s="46"/>
      <c r="F440" s="44"/>
      <c r="G440" s="44"/>
    </row>
    <row r="441" spans="1:7" x14ac:dyDescent="0.3">
      <c r="A441" t="str">
        <f t="shared" si="6"/>
        <v>T440</v>
      </c>
      <c r="B441" s="48"/>
      <c r="C441" s="44"/>
      <c r="D441" s="44"/>
      <c r="E441" s="46"/>
      <c r="F441" s="44"/>
      <c r="G441" s="44"/>
    </row>
    <row r="442" spans="1:7" x14ac:dyDescent="0.3">
      <c r="A442" t="str">
        <f t="shared" si="6"/>
        <v>T441</v>
      </c>
      <c r="B442" s="48"/>
      <c r="C442" s="44"/>
      <c r="D442" s="44"/>
      <c r="E442" s="46"/>
      <c r="F442" s="44"/>
      <c r="G442" s="44"/>
    </row>
    <row r="443" spans="1:7" x14ac:dyDescent="0.3">
      <c r="A443" t="str">
        <f t="shared" si="6"/>
        <v>T442</v>
      </c>
      <c r="B443" s="48"/>
      <c r="C443" s="44"/>
      <c r="D443" s="44"/>
      <c r="E443" s="46"/>
      <c r="F443" s="44"/>
      <c r="G443" s="44"/>
    </row>
    <row r="444" spans="1:7" x14ac:dyDescent="0.3">
      <c r="A444" t="str">
        <f t="shared" si="6"/>
        <v>T443</v>
      </c>
      <c r="B444" s="48"/>
      <c r="C444" s="44"/>
      <c r="D444" s="44"/>
      <c r="E444" s="46"/>
      <c r="F444" s="44"/>
      <c r="G444" s="44"/>
    </row>
    <row r="445" spans="1:7" x14ac:dyDescent="0.3">
      <c r="A445" t="str">
        <f t="shared" si="6"/>
        <v>T444</v>
      </c>
      <c r="B445" s="48"/>
      <c r="C445" s="44"/>
      <c r="D445" s="44"/>
      <c r="E445" s="46"/>
      <c r="F445" s="44"/>
      <c r="G445" s="44"/>
    </row>
    <row r="446" spans="1:7" x14ac:dyDescent="0.3">
      <c r="A446" t="str">
        <f t="shared" si="6"/>
        <v>T445</v>
      </c>
      <c r="B446" s="48"/>
      <c r="C446" s="44"/>
      <c r="D446" s="44"/>
      <c r="E446" s="46"/>
      <c r="F446" s="44"/>
      <c r="G446" s="44"/>
    </row>
    <row r="447" spans="1:7" x14ac:dyDescent="0.3">
      <c r="A447" t="str">
        <f t="shared" si="6"/>
        <v>T446</v>
      </c>
      <c r="B447" s="48"/>
      <c r="C447" s="44"/>
      <c r="D447" s="44"/>
      <c r="E447" s="46"/>
      <c r="F447" s="44"/>
      <c r="G447" s="44"/>
    </row>
    <row r="448" spans="1:7" x14ac:dyDescent="0.3">
      <c r="A448" t="str">
        <f t="shared" si="6"/>
        <v>T447</v>
      </c>
      <c r="B448" s="48"/>
      <c r="C448" s="44"/>
      <c r="D448" s="44"/>
      <c r="E448" s="46"/>
      <c r="F448" s="44"/>
      <c r="G448" s="44"/>
    </row>
    <row r="449" spans="1:7" x14ac:dyDescent="0.3">
      <c r="A449" t="str">
        <f t="shared" si="6"/>
        <v>T448</v>
      </c>
      <c r="B449" s="48"/>
      <c r="C449" s="44"/>
      <c r="D449" s="44"/>
      <c r="E449" s="46"/>
      <c r="F449" s="44"/>
      <c r="G449" s="44"/>
    </row>
    <row r="450" spans="1:7" x14ac:dyDescent="0.3">
      <c r="A450" t="str">
        <f t="shared" ref="A450:A501" si="7">"T"&amp;TEXT(ROW()-1,"000")</f>
        <v>T449</v>
      </c>
      <c r="B450" s="48"/>
      <c r="C450" s="44"/>
      <c r="D450" s="44"/>
      <c r="E450" s="46"/>
      <c r="F450" s="44"/>
      <c r="G450" s="44"/>
    </row>
    <row r="451" spans="1:7" x14ac:dyDescent="0.3">
      <c r="A451" t="str">
        <f t="shared" si="7"/>
        <v>T450</v>
      </c>
      <c r="B451" s="48"/>
      <c r="C451" s="44"/>
      <c r="D451" s="44"/>
      <c r="E451" s="46"/>
      <c r="F451" s="44"/>
      <c r="G451" s="44"/>
    </row>
    <row r="452" spans="1:7" x14ac:dyDescent="0.3">
      <c r="A452" t="str">
        <f t="shared" si="7"/>
        <v>T451</v>
      </c>
      <c r="B452" s="48"/>
      <c r="C452" s="44"/>
      <c r="D452" s="44"/>
      <c r="E452" s="46"/>
      <c r="F452" s="44"/>
      <c r="G452" s="44"/>
    </row>
    <row r="453" spans="1:7" x14ac:dyDescent="0.3">
      <c r="A453" t="str">
        <f t="shared" si="7"/>
        <v>T452</v>
      </c>
      <c r="B453" s="48"/>
      <c r="C453" s="44"/>
      <c r="D453" s="44"/>
      <c r="E453" s="46"/>
      <c r="F453" s="44"/>
      <c r="G453" s="44"/>
    </row>
    <row r="454" spans="1:7" x14ac:dyDescent="0.3">
      <c r="A454" t="str">
        <f t="shared" si="7"/>
        <v>T453</v>
      </c>
      <c r="B454" s="48"/>
      <c r="C454" s="44"/>
      <c r="D454" s="44"/>
      <c r="E454" s="46"/>
      <c r="F454" s="44"/>
      <c r="G454" s="44"/>
    </row>
    <row r="455" spans="1:7" x14ac:dyDescent="0.3">
      <c r="A455" t="str">
        <f t="shared" si="7"/>
        <v>T454</v>
      </c>
      <c r="B455" s="48"/>
      <c r="C455" s="44"/>
      <c r="D455" s="44"/>
      <c r="E455" s="46"/>
      <c r="F455" s="44"/>
      <c r="G455" s="44"/>
    </row>
    <row r="456" spans="1:7" x14ac:dyDescent="0.3">
      <c r="A456" t="str">
        <f t="shared" si="7"/>
        <v>T455</v>
      </c>
      <c r="B456" s="48"/>
      <c r="C456" s="44"/>
      <c r="D456" s="44"/>
      <c r="E456" s="46"/>
      <c r="F456" s="44"/>
      <c r="G456" s="44"/>
    </row>
    <row r="457" spans="1:7" x14ac:dyDescent="0.3">
      <c r="A457" t="str">
        <f t="shared" si="7"/>
        <v>T456</v>
      </c>
      <c r="B457" s="48"/>
      <c r="C457" s="44"/>
      <c r="D457" s="44"/>
      <c r="E457" s="46"/>
      <c r="F457" s="44"/>
      <c r="G457" s="44"/>
    </row>
    <row r="458" spans="1:7" x14ac:dyDescent="0.3">
      <c r="A458" t="str">
        <f t="shared" si="7"/>
        <v>T457</v>
      </c>
      <c r="B458" s="48"/>
      <c r="C458" s="44"/>
      <c r="D458" s="44"/>
      <c r="E458" s="46"/>
      <c r="F458" s="44"/>
      <c r="G458" s="44"/>
    </row>
    <row r="459" spans="1:7" x14ac:dyDescent="0.3">
      <c r="A459" t="str">
        <f t="shared" si="7"/>
        <v>T458</v>
      </c>
      <c r="B459" s="48"/>
      <c r="C459" s="44"/>
      <c r="D459" s="44"/>
      <c r="E459" s="46"/>
      <c r="F459" s="44"/>
      <c r="G459" s="44"/>
    </row>
    <row r="460" spans="1:7" x14ac:dyDescent="0.3">
      <c r="A460" t="str">
        <f t="shared" si="7"/>
        <v>T459</v>
      </c>
      <c r="B460" s="48"/>
      <c r="C460" s="44"/>
      <c r="D460" s="44"/>
      <c r="E460" s="46"/>
      <c r="F460" s="44"/>
      <c r="G460" s="44"/>
    </row>
    <row r="461" spans="1:7" x14ac:dyDescent="0.3">
      <c r="A461" t="str">
        <f t="shared" si="7"/>
        <v>T460</v>
      </c>
      <c r="B461" s="48"/>
      <c r="C461" s="44"/>
      <c r="D461" s="44"/>
      <c r="E461" s="46"/>
      <c r="F461" s="44"/>
      <c r="G461" s="44"/>
    </row>
    <row r="462" spans="1:7" x14ac:dyDescent="0.3">
      <c r="A462" t="str">
        <f t="shared" si="7"/>
        <v>T461</v>
      </c>
      <c r="B462" s="48"/>
      <c r="C462" s="44"/>
      <c r="D462" s="44"/>
      <c r="E462" s="46"/>
      <c r="F462" s="44"/>
      <c r="G462" s="44"/>
    </row>
    <row r="463" spans="1:7" x14ac:dyDescent="0.3">
      <c r="A463" t="str">
        <f t="shared" si="7"/>
        <v>T462</v>
      </c>
      <c r="B463" s="48"/>
      <c r="C463" s="44"/>
      <c r="D463" s="44"/>
      <c r="E463" s="46"/>
      <c r="F463" s="44"/>
      <c r="G463" s="44"/>
    </row>
    <row r="464" spans="1:7" x14ac:dyDescent="0.3">
      <c r="A464" t="str">
        <f t="shared" si="7"/>
        <v>T463</v>
      </c>
      <c r="B464" s="48"/>
      <c r="C464" s="44"/>
      <c r="D464" s="44"/>
      <c r="E464" s="46"/>
      <c r="F464" s="44"/>
      <c r="G464" s="44"/>
    </row>
    <row r="465" spans="1:7" x14ac:dyDescent="0.3">
      <c r="A465" t="str">
        <f t="shared" si="7"/>
        <v>T464</v>
      </c>
      <c r="B465" s="48"/>
      <c r="C465" s="44"/>
      <c r="D465" s="44"/>
      <c r="E465" s="46"/>
      <c r="F465" s="44"/>
      <c r="G465" s="44"/>
    </row>
    <row r="466" spans="1:7" x14ac:dyDescent="0.3">
      <c r="A466" t="str">
        <f t="shared" si="7"/>
        <v>T465</v>
      </c>
      <c r="B466" s="48"/>
      <c r="C466" s="44"/>
      <c r="D466" s="44"/>
      <c r="E466" s="46"/>
      <c r="F466" s="44"/>
      <c r="G466" s="44"/>
    </row>
    <row r="467" spans="1:7" x14ac:dyDescent="0.3">
      <c r="A467" t="str">
        <f t="shared" si="7"/>
        <v>T466</v>
      </c>
      <c r="B467" s="48"/>
      <c r="C467" s="44"/>
      <c r="D467" s="44"/>
      <c r="E467" s="46"/>
      <c r="F467" s="44"/>
      <c r="G467" s="44"/>
    </row>
    <row r="468" spans="1:7" x14ac:dyDescent="0.3">
      <c r="A468" t="str">
        <f t="shared" si="7"/>
        <v>T467</v>
      </c>
      <c r="B468" s="48"/>
      <c r="C468" s="44"/>
      <c r="D468" s="44"/>
      <c r="E468" s="46"/>
      <c r="F468" s="44"/>
      <c r="G468" s="44"/>
    </row>
    <row r="469" spans="1:7" x14ac:dyDescent="0.3">
      <c r="A469" t="str">
        <f t="shared" si="7"/>
        <v>T468</v>
      </c>
      <c r="B469" s="48"/>
      <c r="C469" s="44"/>
      <c r="D469" s="44"/>
      <c r="E469" s="46"/>
      <c r="F469" s="44"/>
      <c r="G469" s="44"/>
    </row>
    <row r="470" spans="1:7" x14ac:dyDescent="0.3">
      <c r="A470" t="str">
        <f t="shared" si="7"/>
        <v>T469</v>
      </c>
      <c r="B470" s="48"/>
      <c r="C470" s="44"/>
      <c r="D470" s="44"/>
      <c r="E470" s="46"/>
      <c r="F470" s="44"/>
      <c r="G470" s="44"/>
    </row>
    <row r="471" spans="1:7" x14ac:dyDescent="0.3">
      <c r="A471" t="str">
        <f t="shared" si="7"/>
        <v>T470</v>
      </c>
      <c r="B471" s="48"/>
      <c r="C471" s="44"/>
      <c r="D471" s="44"/>
      <c r="E471" s="46"/>
      <c r="F471" s="44"/>
      <c r="G471" s="44"/>
    </row>
    <row r="472" spans="1:7" x14ac:dyDescent="0.3">
      <c r="A472" t="str">
        <f t="shared" si="7"/>
        <v>T471</v>
      </c>
      <c r="B472" s="48"/>
      <c r="C472" s="44"/>
      <c r="D472" s="44"/>
      <c r="E472" s="46"/>
      <c r="F472" s="44"/>
      <c r="G472" s="44"/>
    </row>
    <row r="473" spans="1:7" x14ac:dyDescent="0.3">
      <c r="A473" t="str">
        <f t="shared" si="7"/>
        <v>T472</v>
      </c>
      <c r="B473" s="48"/>
      <c r="C473" s="44"/>
      <c r="D473" s="44"/>
      <c r="E473" s="46"/>
      <c r="F473" s="44"/>
      <c r="G473" s="44"/>
    </row>
    <row r="474" spans="1:7" x14ac:dyDescent="0.3">
      <c r="A474" t="str">
        <f t="shared" si="7"/>
        <v>T473</v>
      </c>
      <c r="B474" s="48"/>
      <c r="C474" s="44"/>
      <c r="D474" s="44"/>
      <c r="E474" s="46"/>
      <c r="F474" s="44"/>
      <c r="G474" s="44"/>
    </row>
    <row r="475" spans="1:7" x14ac:dyDescent="0.3">
      <c r="A475" t="str">
        <f t="shared" si="7"/>
        <v>T474</v>
      </c>
      <c r="B475" s="48"/>
      <c r="C475" s="44"/>
      <c r="D475" s="44"/>
      <c r="E475" s="46"/>
      <c r="F475" s="44"/>
      <c r="G475" s="44"/>
    </row>
    <row r="476" spans="1:7" x14ac:dyDescent="0.3">
      <c r="A476" t="str">
        <f t="shared" si="7"/>
        <v>T475</v>
      </c>
      <c r="B476" s="48"/>
      <c r="C476" s="44"/>
      <c r="D476" s="44"/>
      <c r="E476" s="46"/>
      <c r="F476" s="44"/>
      <c r="G476" s="44"/>
    </row>
    <row r="477" spans="1:7" x14ac:dyDescent="0.3">
      <c r="A477" t="str">
        <f t="shared" si="7"/>
        <v>T476</v>
      </c>
      <c r="B477" s="48"/>
      <c r="C477" s="44"/>
      <c r="D477" s="44"/>
      <c r="E477" s="46"/>
      <c r="F477" s="44"/>
      <c r="G477" s="44"/>
    </row>
    <row r="478" spans="1:7" x14ac:dyDescent="0.3">
      <c r="A478" t="str">
        <f t="shared" si="7"/>
        <v>T477</v>
      </c>
      <c r="B478" s="48"/>
      <c r="C478" s="44"/>
      <c r="D478" s="44"/>
      <c r="E478" s="46"/>
      <c r="F478" s="44"/>
      <c r="G478" s="44"/>
    </row>
    <row r="479" spans="1:7" x14ac:dyDescent="0.3">
      <c r="A479" t="str">
        <f t="shared" si="7"/>
        <v>T478</v>
      </c>
      <c r="B479" s="48"/>
      <c r="C479" s="44"/>
      <c r="D479" s="44"/>
      <c r="E479" s="46"/>
      <c r="F479" s="44"/>
      <c r="G479" s="44"/>
    </row>
    <row r="480" spans="1:7" x14ac:dyDescent="0.3">
      <c r="A480" t="str">
        <f t="shared" si="7"/>
        <v>T479</v>
      </c>
      <c r="B480" s="48"/>
      <c r="C480" s="44"/>
      <c r="D480" s="44"/>
      <c r="E480" s="46"/>
      <c r="F480" s="44"/>
      <c r="G480" s="44"/>
    </row>
    <row r="481" spans="1:7" x14ac:dyDescent="0.3">
      <c r="A481" t="str">
        <f t="shared" si="7"/>
        <v>T480</v>
      </c>
      <c r="B481" s="48"/>
      <c r="C481" s="44"/>
      <c r="D481" s="44"/>
      <c r="E481" s="46"/>
      <c r="F481" s="44"/>
      <c r="G481" s="44"/>
    </row>
    <row r="482" spans="1:7" x14ac:dyDescent="0.3">
      <c r="A482" t="str">
        <f t="shared" si="7"/>
        <v>T481</v>
      </c>
      <c r="B482" s="48"/>
      <c r="C482" s="44"/>
      <c r="D482" s="44"/>
      <c r="E482" s="46"/>
      <c r="F482" s="44"/>
      <c r="G482" s="44"/>
    </row>
    <row r="483" spans="1:7" x14ac:dyDescent="0.3">
      <c r="A483" t="str">
        <f t="shared" si="7"/>
        <v>T482</v>
      </c>
      <c r="B483" s="48"/>
      <c r="C483" s="44"/>
      <c r="D483" s="44"/>
      <c r="E483" s="46"/>
      <c r="F483" s="44"/>
      <c r="G483" s="44"/>
    </row>
    <row r="484" spans="1:7" x14ac:dyDescent="0.3">
      <c r="A484" t="str">
        <f t="shared" si="7"/>
        <v>T483</v>
      </c>
      <c r="B484" s="48"/>
      <c r="C484" s="44"/>
      <c r="D484" s="44"/>
      <c r="E484" s="46"/>
      <c r="F484" s="44"/>
      <c r="G484" s="44"/>
    </row>
    <row r="485" spans="1:7" x14ac:dyDescent="0.3">
      <c r="A485" t="str">
        <f t="shared" si="7"/>
        <v>T484</v>
      </c>
      <c r="B485" s="48"/>
      <c r="C485" s="44"/>
      <c r="D485" s="44"/>
      <c r="E485" s="46"/>
      <c r="F485" s="44"/>
      <c r="G485" s="44"/>
    </row>
    <row r="486" spans="1:7" x14ac:dyDescent="0.3">
      <c r="A486" t="str">
        <f t="shared" si="7"/>
        <v>T485</v>
      </c>
      <c r="B486" s="48"/>
      <c r="C486" s="44"/>
      <c r="D486" s="44"/>
      <c r="E486" s="46"/>
      <c r="F486" s="44"/>
      <c r="G486" s="44"/>
    </row>
    <row r="487" spans="1:7" x14ac:dyDescent="0.3">
      <c r="A487" t="str">
        <f t="shared" si="7"/>
        <v>T486</v>
      </c>
      <c r="B487" s="48"/>
      <c r="C487" s="44"/>
      <c r="D487" s="44"/>
      <c r="E487" s="46"/>
      <c r="F487" s="44"/>
      <c r="G487" s="44"/>
    </row>
    <row r="488" spans="1:7" x14ac:dyDescent="0.3">
      <c r="A488" t="str">
        <f t="shared" si="7"/>
        <v>T487</v>
      </c>
      <c r="B488" s="48"/>
      <c r="C488" s="44"/>
      <c r="D488" s="44"/>
      <c r="E488" s="46"/>
      <c r="F488" s="44"/>
      <c r="G488" s="44"/>
    </row>
    <row r="489" spans="1:7" x14ac:dyDescent="0.3">
      <c r="A489" t="str">
        <f t="shared" si="7"/>
        <v>T488</v>
      </c>
      <c r="B489" s="48"/>
      <c r="C489" s="44"/>
      <c r="D489" s="44"/>
      <c r="E489" s="46"/>
      <c r="F489" s="44"/>
      <c r="G489" s="44"/>
    </row>
    <row r="490" spans="1:7" x14ac:dyDescent="0.3">
      <c r="A490" t="str">
        <f t="shared" si="7"/>
        <v>T489</v>
      </c>
      <c r="B490" s="48"/>
      <c r="C490" s="44"/>
      <c r="D490" s="44"/>
      <c r="E490" s="46"/>
      <c r="F490" s="44"/>
      <c r="G490" s="44"/>
    </row>
    <row r="491" spans="1:7" x14ac:dyDescent="0.3">
      <c r="A491" t="str">
        <f t="shared" si="7"/>
        <v>T490</v>
      </c>
      <c r="B491" s="48"/>
      <c r="C491" s="44"/>
      <c r="D491" s="44"/>
      <c r="E491" s="46"/>
      <c r="F491" s="44"/>
      <c r="G491" s="44"/>
    </row>
    <row r="492" spans="1:7" x14ac:dyDescent="0.3">
      <c r="A492" t="str">
        <f t="shared" si="7"/>
        <v>T491</v>
      </c>
      <c r="B492" s="48"/>
      <c r="C492" s="44"/>
      <c r="D492" s="44"/>
      <c r="E492" s="46"/>
      <c r="F492" s="44"/>
      <c r="G492" s="44"/>
    </row>
    <row r="493" spans="1:7" x14ac:dyDescent="0.3">
      <c r="A493" t="str">
        <f t="shared" si="7"/>
        <v>T492</v>
      </c>
      <c r="B493" s="48"/>
      <c r="C493" s="44"/>
      <c r="D493" s="44"/>
      <c r="E493" s="46"/>
      <c r="F493" s="44"/>
      <c r="G493" s="44"/>
    </row>
    <row r="494" spans="1:7" x14ac:dyDescent="0.3">
      <c r="A494" t="str">
        <f t="shared" si="7"/>
        <v>T493</v>
      </c>
      <c r="B494" s="48"/>
      <c r="C494" s="44"/>
      <c r="D494" s="44"/>
      <c r="E494" s="46"/>
      <c r="F494" s="44"/>
      <c r="G494" s="44"/>
    </row>
    <row r="495" spans="1:7" x14ac:dyDescent="0.3">
      <c r="A495" t="str">
        <f t="shared" si="7"/>
        <v>T494</v>
      </c>
      <c r="B495" s="48"/>
      <c r="C495" s="44"/>
      <c r="D495" s="44"/>
      <c r="E495" s="46"/>
      <c r="F495" s="44"/>
      <c r="G495" s="44"/>
    </row>
    <row r="496" spans="1:7" x14ac:dyDescent="0.3">
      <c r="A496" t="str">
        <f t="shared" si="7"/>
        <v>T495</v>
      </c>
      <c r="B496" s="48"/>
      <c r="C496" s="44"/>
      <c r="D496" s="44"/>
      <c r="E496" s="46"/>
      <c r="F496" s="44"/>
      <c r="G496" s="44"/>
    </row>
    <row r="497" spans="1:7" x14ac:dyDescent="0.3">
      <c r="A497" t="str">
        <f t="shared" si="7"/>
        <v>T496</v>
      </c>
      <c r="B497" s="48"/>
      <c r="C497" s="44"/>
      <c r="D497" s="44"/>
      <c r="E497" s="46"/>
      <c r="F497" s="44"/>
      <c r="G497" s="44"/>
    </row>
    <row r="498" spans="1:7" x14ac:dyDescent="0.3">
      <c r="A498" t="str">
        <f t="shared" si="7"/>
        <v>T497</v>
      </c>
      <c r="B498" s="48"/>
      <c r="C498" s="44"/>
      <c r="D498" s="44"/>
      <c r="E498" s="46"/>
      <c r="F498" s="44"/>
      <c r="G498" s="44"/>
    </row>
    <row r="499" spans="1:7" x14ac:dyDescent="0.3">
      <c r="A499" t="str">
        <f t="shared" si="7"/>
        <v>T498</v>
      </c>
      <c r="B499" s="48"/>
      <c r="C499" s="44"/>
      <c r="D499" s="44"/>
      <c r="E499" s="46"/>
      <c r="F499" s="44"/>
      <c r="G499" s="44"/>
    </row>
    <row r="500" spans="1:7" x14ac:dyDescent="0.3">
      <c r="A500" t="str">
        <f t="shared" si="7"/>
        <v>T499</v>
      </c>
      <c r="B500" s="48"/>
      <c r="C500" s="44"/>
      <c r="D500" s="44"/>
      <c r="E500" s="46"/>
      <c r="F500" s="44"/>
      <c r="G500" s="44"/>
    </row>
    <row r="501" spans="1:7" x14ac:dyDescent="0.3">
      <c r="A501" t="str">
        <f t="shared" si="7"/>
        <v>T500</v>
      </c>
      <c r="B501" s="48"/>
      <c r="C501" s="44"/>
      <c r="D501" s="44"/>
      <c r="E501" s="46"/>
      <c r="F501" s="44"/>
      <c r="G501" s="44"/>
    </row>
  </sheetData>
  <sheetProtection sheet="1" objects="1" scenarios="1" formatColumns="0" insertRows="0" sort="0" autoFilter="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05082-288A-4420-BAF3-CBE18B75D4FC}">
  <sheetPr codeName="Sheet4"/>
  <dimension ref="A1:H6"/>
  <sheetViews>
    <sheetView workbookViewId="0">
      <selection activeCell="C17" sqref="C17"/>
    </sheetView>
  </sheetViews>
  <sheetFormatPr defaultRowHeight="16.5" x14ac:dyDescent="0.3"/>
  <cols>
    <col min="1" max="1" width="12.21875" bestFit="1" customWidth="1"/>
    <col min="2" max="2" width="15.109375" bestFit="1" customWidth="1"/>
    <col min="3" max="3" width="11" bestFit="1" customWidth="1"/>
    <col min="4" max="4" width="11" style="1" bestFit="1" customWidth="1"/>
    <col min="5" max="5" width="14.5546875" style="2" bestFit="1" customWidth="1"/>
    <col min="6" max="6" width="20" style="2" bestFit="1" customWidth="1"/>
    <col min="7" max="7" width="15.21875" style="2" bestFit="1" customWidth="1"/>
    <col min="8" max="8" width="16.109375" bestFit="1" customWidth="1"/>
  </cols>
  <sheetData>
    <row r="1" spans="1:8" x14ac:dyDescent="0.3">
      <c r="A1" s="29" t="s">
        <v>23</v>
      </c>
      <c r="B1" s="29" t="s">
        <v>24</v>
      </c>
      <c r="C1" s="29" t="s">
        <v>33</v>
      </c>
      <c r="D1" s="30" t="s">
        <v>26</v>
      </c>
      <c r="E1" s="31" t="s">
        <v>28</v>
      </c>
      <c r="F1" s="31" t="s">
        <v>49</v>
      </c>
      <c r="G1" s="31" t="s">
        <v>50</v>
      </c>
      <c r="H1" s="29" t="s">
        <v>51</v>
      </c>
    </row>
    <row r="2" spans="1:8" x14ac:dyDescent="0.3">
      <c r="A2" s="18" t="s">
        <v>23</v>
      </c>
      <c r="B2" s="18" t="str">
        <f>IF(tblInventory[[#This Row],[ProductID]]="","",IF(ISNUMBER(SEARCH("ProductID",tblInventory[[#This Row],[ProductID]])),"ProductName",IFERROR(_xlfn.XLOOKUP(tblInventory[[#This Row],[ProductID]],tblProducts[ProductID],tblProducts[ProductName],""),"")))</f>
        <v>ProductName</v>
      </c>
      <c r="C2" s="18" t="s">
        <v>33</v>
      </c>
      <c r="D2" s="32" t="str">
        <f>IF(tblInventory[[#This Row],[ProductID]]="","",IF(ISNUMBER(SEARCH("ProductID",tblInventory[[#This Row],[ProductID]])),"UnitCost",IFERROR(_xlfn.XLOOKUP(tblInventory[[#This Row],[ProductID]],tblProducts[ProductID],tblProducts[UnitCost],""),"")))</f>
        <v>UnitCost</v>
      </c>
      <c r="E2" s="33" t="str">
        <f>IF(tblInventory[[#This Row],[ProductID]]="","",IF(ISNUMBER(SEARCH("ProductID",tblInventory[[#This Row],[ProductID]])),"ReorderLevel",IFERROR(_xlfn.XLOOKUP(tblInventory[[#This Row],[ProductID]],tblProducts[ProductID],tblProducts[ReorderLevel],""),"")))</f>
        <v>ReorderLevel</v>
      </c>
      <c r="F2" s="33" t="str">
        <f>IF(tblInventory[[#This Row],[ProductID]]="","",IF(ISNUMBER(SEARCH("ProductID",tblInventory[[#This Row],[ProductID]])),"QuantityOnHand (auto)",IFERROR(SUMIFS(tblTrans[Quantity],tblTrans[ProductID],tblInventory[[#This Row],[ProductID]],tblTrans[Location],tblInventory[[#This Row],[Location]]),"")))</f>
        <v>QuantityOnHand (auto)</v>
      </c>
      <c r="G2" s="33" t="str">
        <f>IF(tblInventory[[#This Row],[ProductID]]="","",IF(ISNUMBER(SEARCH("ProductID",tblInventory[[#This Row],[ProductID]])),"StockValue (auto)",IFERROR(tblInventory[[#This Row],[QuantityOnHand]]*tblInventory[[#This Row],[UnitCost]],"")))</f>
        <v>StockValue (auto)</v>
      </c>
      <c r="H2" s="18" t="str">
        <f>IF(tblInventory[[#This Row],[ProductID]]="","",IF(ISNUMBER(SEARCH("ProductID",tblInventory[[#This Row],[ProductID]])),"ReorderFlag (auto)",IFERROR(IF(tblInventory[[#This Row],[QuantityOnHand]]&lt;=tblInventory[[#This Row],[ReorderLevel]],"Yes","No"),"")))</f>
        <v>ReorderFlag (auto)</v>
      </c>
    </row>
    <row r="3" spans="1:8" x14ac:dyDescent="0.3">
      <c r="B3" t="str">
        <f>IF(tblInventory[[#This Row],[ProductID]]="","",IF(ISNUMBER(SEARCH("ProductID",tblInventory[[#This Row],[ProductID]])),"ProductName",IFERROR(_xlfn.XLOOKUP(tblInventory[[#This Row],[ProductID]],tblProducts[ProductID],tblProducts[ProductName],""),"")))</f>
        <v/>
      </c>
      <c r="D3" s="1" t="str">
        <f>IF(tblInventory[[#This Row],[ProductID]]="","",IF(ISNUMBER(SEARCH("ProductID",tblInventory[[#This Row],[ProductID]])),"UnitCost",IFERROR(_xlfn.XLOOKUP(tblInventory[[#This Row],[ProductID]],tblProducts[ProductID],tblProducts[UnitCost],""),"")))</f>
        <v/>
      </c>
      <c r="E3" s="2" t="str">
        <f>IF(tblInventory[[#This Row],[ProductID]]="","",IF(ISNUMBER(SEARCH("ProductID",tblInventory[[#This Row],[ProductID]])),"ReorderLevel",IFERROR(_xlfn.XLOOKUP(tblInventory[[#This Row],[ProductID]],tblProducts[ProductID],tblProducts[ReorderLevel],""),"")))</f>
        <v/>
      </c>
      <c r="F3" s="2" t="str">
        <f>IF(tblInventory[[#This Row],[ProductID]]="","",IF(ISNUMBER(SEARCH("ProductID",tblInventory[[#This Row],[ProductID]])),"QuantityOnHand (auto)",IFERROR(SUMIFS(tblTrans[Quantity],tblTrans[ProductID],tblInventory[[#This Row],[ProductID]],tblTrans[Location],tblInventory[[#This Row],[Location]]),"")))</f>
        <v/>
      </c>
      <c r="G3" s="2" t="str">
        <f>IF(tblInventory[[#This Row],[ProductID]]="","",IF(ISNUMBER(SEARCH("ProductID",tblInventory[[#This Row],[ProductID]])),"StockValue (auto)",IFERROR(tblInventory[[#This Row],[QuantityOnHand]]*tblInventory[[#This Row],[UnitCost]],"")))</f>
        <v/>
      </c>
      <c r="H3" t="str">
        <f>IF(tblInventory[[#This Row],[ProductID]]="","",IF(ISNUMBER(SEARCH("ProductID",tblInventory[[#This Row],[ProductID]])),"ReorderFlag (auto)",IFERROR(IF(tblInventory[[#This Row],[QuantityOnHand]]&lt;=tblInventory[[#This Row],[ReorderLevel]],"Yes","No"),"")))</f>
        <v/>
      </c>
    </row>
    <row r="4" spans="1:8" x14ac:dyDescent="0.3">
      <c r="B4" t="str">
        <f>IF(tblInventory[[#This Row],[ProductID]]="","",IF(ISNUMBER(SEARCH("ProductID",tblInventory[[#This Row],[ProductID]])),"ProductName",IFERROR(_xlfn.XLOOKUP(tblInventory[[#This Row],[ProductID]],tblProducts[ProductID],tblProducts[ProductName],""),"")))</f>
        <v/>
      </c>
      <c r="D4" s="1" t="str">
        <f>IF(tblInventory[[#This Row],[ProductID]]="","",IF(ISNUMBER(SEARCH("ProductID",tblInventory[[#This Row],[ProductID]])),"UnitCost",IFERROR(_xlfn.XLOOKUP(tblInventory[[#This Row],[ProductID]],tblProducts[ProductID],tblProducts[UnitCost],""),"")))</f>
        <v/>
      </c>
      <c r="E4" s="2" t="str">
        <f>IF(tblInventory[[#This Row],[ProductID]]="","",IF(ISNUMBER(SEARCH("ProductID",tblInventory[[#This Row],[ProductID]])),"ReorderLevel",IFERROR(_xlfn.XLOOKUP(tblInventory[[#This Row],[ProductID]],tblProducts[ProductID],tblProducts[ReorderLevel],""),"")))</f>
        <v/>
      </c>
      <c r="F4" s="2" t="str">
        <f>IF(tblInventory[[#This Row],[ProductID]]="","",IF(ISNUMBER(SEARCH("ProductID",tblInventory[[#This Row],[ProductID]])),"QuantityOnHand (auto)",IFERROR(SUMIFS(tblTrans[Quantity],tblTrans[ProductID],tblInventory[[#This Row],[ProductID]],tblTrans[Location],tblInventory[[#This Row],[Location]]),"")))</f>
        <v/>
      </c>
      <c r="G4" s="2" t="str">
        <f>IF(tblInventory[[#This Row],[ProductID]]="","",IF(ISNUMBER(SEARCH("ProductID",tblInventory[[#This Row],[ProductID]])),"StockValue (auto)",IFERROR(tblInventory[[#This Row],[QuantityOnHand]]*tblInventory[[#This Row],[UnitCost]],"")))</f>
        <v/>
      </c>
      <c r="H4" t="str">
        <f>IF(tblInventory[[#This Row],[ProductID]]="","",IF(ISNUMBER(SEARCH("ProductID",tblInventory[[#This Row],[ProductID]])),"ReorderFlag (auto)",IFERROR(IF(tblInventory[[#This Row],[QuantityOnHand]]&lt;=tblInventory[[#This Row],[ReorderLevel]],"Yes","No"),"")))</f>
        <v/>
      </c>
    </row>
    <row r="5" spans="1:8" x14ac:dyDescent="0.3">
      <c r="B5" t="str">
        <f>IF(tblInventory[[#This Row],[ProductID]]="","",IF(ISNUMBER(SEARCH("ProductID",tblInventory[[#This Row],[ProductID]])),"ProductName",IFERROR(_xlfn.XLOOKUP(tblInventory[[#This Row],[ProductID]],tblProducts[ProductID],tblProducts[ProductName],""),"")))</f>
        <v/>
      </c>
      <c r="D5" s="1" t="str">
        <f>IF(tblInventory[[#This Row],[ProductID]]="","",IF(ISNUMBER(SEARCH("ProductID",tblInventory[[#This Row],[ProductID]])),"UnitCost",IFERROR(_xlfn.XLOOKUP(tblInventory[[#This Row],[ProductID]],tblProducts[ProductID],tblProducts[UnitCost],""),"")))</f>
        <v/>
      </c>
      <c r="E5" s="2" t="str">
        <f>IF(tblInventory[[#This Row],[ProductID]]="","",IF(ISNUMBER(SEARCH("ProductID",tblInventory[[#This Row],[ProductID]])),"ReorderLevel",IFERROR(_xlfn.XLOOKUP(tblInventory[[#This Row],[ProductID]],tblProducts[ProductID],tblProducts[ReorderLevel],""),"")))</f>
        <v/>
      </c>
      <c r="F5" s="2" t="str">
        <f>IF(tblInventory[[#This Row],[ProductID]]="","",IF(ISNUMBER(SEARCH("ProductID",tblInventory[[#This Row],[ProductID]])),"QuantityOnHand (auto)",IFERROR(SUMIFS(tblTrans[Quantity],tblTrans[ProductID],tblInventory[[#This Row],[ProductID]],tblTrans[Location],tblInventory[[#This Row],[Location]]),"")))</f>
        <v/>
      </c>
      <c r="G5" s="2" t="str">
        <f>IF(tblInventory[[#This Row],[ProductID]]="","",IF(ISNUMBER(SEARCH("ProductID",tblInventory[[#This Row],[ProductID]])),"StockValue (auto)",IFERROR(tblInventory[[#This Row],[QuantityOnHand]]*tblInventory[[#This Row],[UnitCost]],"")))</f>
        <v/>
      </c>
      <c r="H5" t="str">
        <f>IF(tblInventory[[#This Row],[ProductID]]="","",IF(ISNUMBER(SEARCH("ProductID",tblInventory[[#This Row],[ProductID]])),"ReorderFlag (auto)",IFERROR(IF(tblInventory[[#This Row],[QuantityOnHand]]&lt;=tblInventory[[#This Row],[ReorderLevel]],"Yes","No"),"")))</f>
        <v/>
      </c>
    </row>
    <row r="6" spans="1:8" x14ac:dyDescent="0.3">
      <c r="B6" t="str">
        <f>IF(tblInventory[[#This Row],[ProductID]]="","",IF(ISNUMBER(SEARCH("ProductID",tblInventory[[#This Row],[ProductID]])),"ProductName",IFERROR(_xlfn.XLOOKUP(tblInventory[[#This Row],[ProductID]],tblProducts[ProductID],tblProducts[ProductName],""),"")))</f>
        <v/>
      </c>
      <c r="D6" s="1" t="str">
        <f>IF(tblInventory[[#This Row],[ProductID]]="","",IF(ISNUMBER(SEARCH("ProductID",tblInventory[[#This Row],[ProductID]])),"UnitCost",IFERROR(_xlfn.XLOOKUP(tblInventory[[#This Row],[ProductID]],tblProducts[ProductID],tblProducts[UnitCost],""),"")))</f>
        <v/>
      </c>
      <c r="E6" s="2" t="str">
        <f>IF(tblInventory[[#This Row],[ProductID]]="","",IF(ISNUMBER(SEARCH("ProductID",tblInventory[[#This Row],[ProductID]])),"ReorderLevel",IFERROR(_xlfn.XLOOKUP(tblInventory[[#This Row],[ProductID]],tblProducts[ProductID],tblProducts[ReorderLevel],""),"")))</f>
        <v/>
      </c>
      <c r="F6" s="2" t="str">
        <f>IF(tblInventory[[#This Row],[ProductID]]="","",IF(ISNUMBER(SEARCH("ProductID",tblInventory[[#This Row],[ProductID]])),"QuantityOnHand (auto)",IFERROR(SUMIFS(tblTrans[Quantity],tblTrans[ProductID],tblInventory[[#This Row],[ProductID]],tblTrans[Location],tblInventory[[#This Row],[Location]]),"")))</f>
        <v/>
      </c>
      <c r="G6" s="2" t="str">
        <f>IF(tblInventory[[#This Row],[ProductID]]="","",IF(ISNUMBER(SEARCH("ProductID",tblInventory[[#This Row],[ProductID]])),"StockValue (auto)",IFERROR(tblInventory[[#This Row],[QuantityOnHand]]*tblInventory[[#This Row],[UnitCost]],"")))</f>
        <v/>
      </c>
      <c r="H6" t="str">
        <f>IF(tblInventory[[#This Row],[ProductID]]="","",IF(ISNUMBER(SEARCH("ProductID",tblInventory[[#This Row],[ProductID]])),"ReorderFlag (auto)",IFERROR(IF(tblInventory[[#This Row],[QuantityOnHand]]&lt;=tblInventory[[#This Row],[ReorderLevel]],"Yes","No"),"")))</f>
        <v/>
      </c>
    </row>
  </sheetData>
  <sheetProtection sheet="1" objects="1" scenarios="1" sort="0"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53D98-8C12-4F06-A83B-BE9A70F2DC2F}">
  <sheetPr codeName="Sheet5"/>
  <dimension ref="A1:H6"/>
  <sheetViews>
    <sheetView topLeftCell="B1" workbookViewId="0">
      <selection activeCell="B15" sqref="B15"/>
    </sheetView>
  </sheetViews>
  <sheetFormatPr defaultRowHeight="16.5" x14ac:dyDescent="0.3"/>
  <cols>
    <col min="1" max="1" width="10.88671875" bestFit="1" customWidth="1"/>
    <col min="2" max="2" width="12.21875" bestFit="1" customWidth="1"/>
    <col min="3" max="3" width="15.109375" bestFit="1" customWidth="1"/>
    <col min="4" max="4" width="11" bestFit="1" customWidth="1"/>
    <col min="5" max="5" width="14.44140625" style="2" bestFit="1" customWidth="1"/>
    <col min="6" max="6" width="14.5546875" style="2" bestFit="1" customWidth="1"/>
    <col min="7" max="7" width="19.6640625" style="2" bestFit="1" customWidth="1"/>
    <col min="8" max="8" width="11.5546875" style="1" bestFit="1" customWidth="1"/>
  </cols>
  <sheetData>
    <row r="1" spans="1:8" x14ac:dyDescent="0.3">
      <c r="A1" s="29" t="s">
        <v>27</v>
      </c>
      <c r="B1" s="29" t="s">
        <v>23</v>
      </c>
      <c r="C1" s="29" t="s">
        <v>24</v>
      </c>
      <c r="D1" s="29" t="s">
        <v>33</v>
      </c>
      <c r="E1" s="31" t="s">
        <v>52</v>
      </c>
      <c r="F1" s="31" t="s">
        <v>28</v>
      </c>
      <c r="G1" s="31" t="s">
        <v>53</v>
      </c>
      <c r="H1" s="30" t="s">
        <v>54</v>
      </c>
    </row>
    <row r="2" spans="1:8" x14ac:dyDescent="0.3">
      <c r="A2" s="18" t="str">
        <f>IF(tblReorderReport[[#This Row],[ProductID]]="","",IF(ISNUMBER(SEARCH("ProductID",tblReorderReport[[#This Row],[ProductID]])),"Supplier",IFERROR(_xlfn.XLOOKUP(tblReorderReport[[#This Row],[ProductID]],tblProducts[ProductID],tblProducts[Supplier],""),"")))</f>
        <v>Supplier</v>
      </c>
      <c r="B2" s="18" t="s">
        <v>23</v>
      </c>
      <c r="C2" s="18" t="str">
        <f>IF(tblReorderReport[[#This Row],[ProductID]]="","",IF(ISNUMBER(SEARCH("ProductID",tblReorderReport[[#This Row],[ProductID]])),"ProductName",IFERROR(_xlfn.XLOOKUP(tblReorderReport[[#This Row],[ProductID]],tblProducts[ProductID],tblProducts[ProductName],""),"")))</f>
        <v>ProductName</v>
      </c>
      <c r="D2" s="18" t="s">
        <v>33</v>
      </c>
      <c r="E2" s="33" t="str" cm="1">
        <f t="array" ref="E2">IF(tblReorderReport[[#This Row],[ProductID]]="","",IF(ISNUMBER(SEARCH("ProductID",tblReorderReport[[#This Row],[ProductID]])),"CurrentStock",IFERROR(_xlfn.XLOOKUP(1,(tblInventory[ProductID]=tblReorderReport[[#This Row],[ProductID]])*(tblInventory[Location]=tblReorderReport[[#This Row],[Location]]),tblInventory[QuantityOnHand],""),"")))</f>
        <v>CurrentStock</v>
      </c>
      <c r="F2" s="33" t="str">
        <f>IF(tblReorderReport[[#This Row],[ProductID]]="","",IF(ISNUMBER(SEARCH("ProductID",tblReorderReport[[#This Row],[ProductID]])),"ReorderLevel",IFERROR(_xlfn.XLOOKUP(tblReorderReport[[#This Row],[ProductID]],tblProducts[ProductID],tblProducts[ReorderLevel],""),"")))</f>
        <v>ReorderLevel</v>
      </c>
      <c r="G2" s="33" t="str">
        <f>IF(tblReorderReport[[#This Row],[ProductID]]="","",IF(ISNUMBER(SEARCH("ProductID",tblReorderReport[[#This Row],[ProductID]])),"SuggestedOrderQty",IFERROR(MAX(tblReorderReport[[#This Row],[ReorderLevel]]-tblReorderReport[[#This Row],[CurrentStock]],0),"")))</f>
        <v>SuggestedOrderQty</v>
      </c>
      <c r="H2" s="32" t="str">
        <f>IF(tblReorderReport[[#This Row],[ProductID]]="","",IF(ISNUMBER(SEARCH("ProductID",tblReorderReport[[#This Row],[ProductID]])),"TotalCost",IFERROR(tblReorderReport[[#This Row],[SuggestedOrderQty]]*_xlfn.XLOOKUP(tblReorderReport[[#This Row],[ProductID]],tblProducts[ProductID],tblProducts[UnitCost],0),"")))</f>
        <v>TotalCost</v>
      </c>
    </row>
    <row r="3" spans="1:8" x14ac:dyDescent="0.3">
      <c r="A3" t="str">
        <f>IF(tblReorderReport[[#This Row],[ProductID]]="","",IF(ISNUMBER(SEARCH("ProductID",tblReorderReport[[#This Row],[ProductID]])),"Supplier",IFERROR(_xlfn.XLOOKUP(tblReorderReport[[#This Row],[ProductID]],tblProducts[ProductID],tblProducts[Supplier],""),"")))</f>
        <v/>
      </c>
      <c r="C3" t="str">
        <f>IF(tblReorderReport[[#This Row],[ProductID]]="","",IF(ISNUMBER(SEARCH("ProductID",tblReorderReport[[#This Row],[ProductID]])),"ProductName",IFERROR(_xlfn.XLOOKUP(tblReorderReport[[#This Row],[ProductID]],tblProducts[ProductID],tblProducts[ProductName],""),"")))</f>
        <v/>
      </c>
      <c r="E3" s="2" t="str" cm="1">
        <f t="array" ref="E3">IF(tblReorderReport[[#This Row],[ProductID]]="","",IF(ISNUMBER(SEARCH("ProductID",tblReorderReport[[#This Row],[ProductID]])),"CurrentStock",IFERROR(_xlfn.XLOOKUP(1,(tblInventory[ProductID]=tblReorderReport[[#This Row],[ProductID]])*(tblInventory[Location]=tblReorderReport[[#This Row],[Location]]),tblInventory[QuantityOnHand],""),"")))</f>
        <v/>
      </c>
      <c r="F3" s="2" t="str">
        <f>IF(tblReorderReport[[#This Row],[ProductID]]="","",IF(ISNUMBER(SEARCH("ProductID",tblReorderReport[[#This Row],[ProductID]])),"ReorderLevel",IFERROR(_xlfn.XLOOKUP(tblReorderReport[[#This Row],[ProductID]],tblProducts[ProductID],tblProducts[ReorderLevel],""),"")))</f>
        <v/>
      </c>
      <c r="G3" s="2" t="str">
        <f>IF(tblReorderReport[[#This Row],[ProductID]]="","",IF(ISNUMBER(SEARCH("ProductID",tblReorderReport[[#This Row],[ProductID]])),"SuggestedOrderQty",IFERROR(MAX(tblReorderReport[[#This Row],[ReorderLevel]]-tblReorderReport[[#This Row],[CurrentStock]],0),"")))</f>
        <v/>
      </c>
      <c r="H3" s="1" t="str">
        <f>IF(tblReorderReport[[#This Row],[ProductID]]="","",IF(ISNUMBER(SEARCH("ProductID",tblReorderReport[[#This Row],[ProductID]])),"TotalCost",IFERROR(tblReorderReport[[#This Row],[SuggestedOrderQty]]*_xlfn.XLOOKUP(tblReorderReport[[#This Row],[ProductID]],tblProducts[ProductID],tblProducts[UnitCost],0),"")))</f>
        <v/>
      </c>
    </row>
    <row r="4" spans="1:8" x14ac:dyDescent="0.3">
      <c r="A4" t="str">
        <f>IF(tblReorderReport[[#This Row],[ProductID]]="","",IF(ISNUMBER(SEARCH("ProductID",tblReorderReport[[#This Row],[ProductID]])),"Supplier",IFERROR(_xlfn.XLOOKUP(tblReorderReport[[#This Row],[ProductID]],tblProducts[ProductID],tblProducts[Supplier],""),"")))</f>
        <v/>
      </c>
      <c r="C4" t="str">
        <f>IF(tblReorderReport[[#This Row],[ProductID]]="","",IF(ISNUMBER(SEARCH("ProductID",tblReorderReport[[#This Row],[ProductID]])),"ProductName",IFERROR(_xlfn.XLOOKUP(tblReorderReport[[#This Row],[ProductID]],tblProducts[ProductID],tblProducts[ProductName],""),"")))</f>
        <v/>
      </c>
      <c r="E4" s="2" t="str" cm="1">
        <f t="array" ref="E4">IF(tblReorderReport[[#This Row],[ProductID]]="","",IF(ISNUMBER(SEARCH("ProductID",tblReorderReport[[#This Row],[ProductID]])),"CurrentStock",IFERROR(_xlfn.XLOOKUP(1,(tblInventory[ProductID]=tblReorderReport[[#This Row],[ProductID]])*(tblInventory[Location]=tblReorderReport[[#This Row],[Location]]),tblInventory[QuantityOnHand],""),"")))</f>
        <v/>
      </c>
      <c r="F4" s="2" t="str">
        <f>IF(tblReorderReport[[#This Row],[ProductID]]="","",IF(ISNUMBER(SEARCH("ProductID",tblReorderReport[[#This Row],[ProductID]])),"ReorderLevel",IFERROR(_xlfn.XLOOKUP(tblReorderReport[[#This Row],[ProductID]],tblProducts[ProductID],tblProducts[ReorderLevel],""),"")))</f>
        <v/>
      </c>
      <c r="G4" s="2" t="str">
        <f>IF(tblReorderReport[[#This Row],[ProductID]]="","",IF(ISNUMBER(SEARCH("ProductID",tblReorderReport[[#This Row],[ProductID]])),"SuggestedOrderQty",IFERROR(MAX(tblReorderReport[[#This Row],[ReorderLevel]]-tblReorderReport[[#This Row],[CurrentStock]],0),"")))</f>
        <v/>
      </c>
      <c r="H4" s="1" t="str">
        <f>IF(tblReorderReport[[#This Row],[ProductID]]="","",IF(ISNUMBER(SEARCH("ProductID",tblReorderReport[[#This Row],[ProductID]])),"TotalCost",IFERROR(tblReorderReport[[#This Row],[SuggestedOrderQty]]*_xlfn.XLOOKUP(tblReorderReport[[#This Row],[ProductID]],tblProducts[ProductID],tblProducts[UnitCost],0),"")))</f>
        <v/>
      </c>
    </row>
    <row r="5" spans="1:8" x14ac:dyDescent="0.3">
      <c r="A5" t="str">
        <f>IF(tblReorderReport[[#This Row],[ProductID]]="","",IF(ISNUMBER(SEARCH("ProductID",tblReorderReport[[#This Row],[ProductID]])),"Supplier",IFERROR(_xlfn.XLOOKUP(tblReorderReport[[#This Row],[ProductID]],tblProducts[ProductID],tblProducts[Supplier],""),"")))</f>
        <v/>
      </c>
      <c r="C5" t="str">
        <f>IF(tblReorderReport[[#This Row],[ProductID]]="","",IF(ISNUMBER(SEARCH("ProductID",tblReorderReport[[#This Row],[ProductID]])),"ProductName",IFERROR(_xlfn.XLOOKUP(tblReorderReport[[#This Row],[ProductID]],tblProducts[ProductID],tblProducts[ProductName],""),"")))</f>
        <v/>
      </c>
      <c r="E5" s="2" t="str" cm="1">
        <f t="array" ref="E5">IF(tblReorderReport[[#This Row],[ProductID]]="","",IF(ISNUMBER(SEARCH("ProductID",tblReorderReport[[#This Row],[ProductID]])),"CurrentStock",IFERROR(_xlfn.XLOOKUP(1,(tblInventory[ProductID]=tblReorderReport[[#This Row],[ProductID]])*(tblInventory[Location]=tblReorderReport[[#This Row],[Location]]),tblInventory[QuantityOnHand],""),"")))</f>
        <v/>
      </c>
      <c r="F5" s="2" t="str">
        <f>IF(tblReorderReport[[#This Row],[ProductID]]="","",IF(ISNUMBER(SEARCH("ProductID",tblReorderReport[[#This Row],[ProductID]])),"ReorderLevel",IFERROR(_xlfn.XLOOKUP(tblReorderReport[[#This Row],[ProductID]],tblProducts[ProductID],tblProducts[ReorderLevel],""),"")))</f>
        <v/>
      </c>
      <c r="G5" s="2" t="str">
        <f>IF(tblReorderReport[[#This Row],[ProductID]]="","",IF(ISNUMBER(SEARCH("ProductID",tblReorderReport[[#This Row],[ProductID]])),"SuggestedOrderQty",IFERROR(MAX(tblReorderReport[[#This Row],[ReorderLevel]]-tblReorderReport[[#This Row],[CurrentStock]],0),"")))</f>
        <v/>
      </c>
      <c r="H5" s="1" t="str">
        <f>IF(tblReorderReport[[#This Row],[ProductID]]="","",IF(ISNUMBER(SEARCH("ProductID",tblReorderReport[[#This Row],[ProductID]])),"TotalCost",IFERROR(tblReorderReport[[#This Row],[SuggestedOrderQty]]*_xlfn.XLOOKUP(tblReorderReport[[#This Row],[ProductID]],tblProducts[ProductID],tblProducts[UnitCost],0),"")))</f>
        <v/>
      </c>
    </row>
    <row r="6" spans="1:8" x14ac:dyDescent="0.3">
      <c r="A6" t="str">
        <f>IF(tblReorderReport[[#This Row],[ProductID]]="","",IF(ISNUMBER(SEARCH("ProductID",tblReorderReport[[#This Row],[ProductID]])),"Supplier",IFERROR(_xlfn.XLOOKUP(tblReorderReport[[#This Row],[ProductID]],tblProducts[ProductID],tblProducts[Supplier],""),"")))</f>
        <v/>
      </c>
      <c r="C6" t="str">
        <f>IF(tblReorderReport[[#This Row],[ProductID]]="","",IF(ISNUMBER(SEARCH("ProductID",tblReorderReport[[#This Row],[ProductID]])),"ProductName",IFERROR(_xlfn.XLOOKUP(tblReorderReport[[#This Row],[ProductID]],tblProducts[ProductID],tblProducts[ProductName],""),"")))</f>
        <v/>
      </c>
      <c r="E6" s="2" t="str" cm="1">
        <f t="array" ref="E6">IF(tblReorderReport[[#This Row],[ProductID]]="","",IF(ISNUMBER(SEARCH("ProductID",tblReorderReport[[#This Row],[ProductID]])),"CurrentStock",IFERROR(_xlfn.XLOOKUP(1,(tblInventory[ProductID]=tblReorderReport[[#This Row],[ProductID]])*(tblInventory[Location]=tblReorderReport[[#This Row],[Location]]),tblInventory[QuantityOnHand],""),"")))</f>
        <v/>
      </c>
      <c r="F6" s="2" t="str">
        <f>IF(tblReorderReport[[#This Row],[ProductID]]="","",IF(ISNUMBER(SEARCH("ProductID",tblReorderReport[[#This Row],[ProductID]])),"ReorderLevel",IFERROR(_xlfn.XLOOKUP(tblReorderReport[[#This Row],[ProductID]],tblProducts[ProductID],tblProducts[ReorderLevel],""),"")))</f>
        <v/>
      </c>
      <c r="G6" s="2" t="str">
        <f>IF(tblReorderReport[[#This Row],[ProductID]]="","",IF(ISNUMBER(SEARCH("ProductID",tblReorderReport[[#This Row],[ProductID]])),"SuggestedOrderQty",IFERROR(MAX(tblReorderReport[[#This Row],[ReorderLevel]]-tblReorderReport[[#This Row],[CurrentStock]],0),"")))</f>
        <v/>
      </c>
      <c r="H6" s="1" t="str">
        <f>IF(tblReorderReport[[#This Row],[ProductID]]="","",IF(ISNUMBER(SEARCH("ProductID",tblReorderReport[[#This Row],[ProductID]])),"TotalCost",IFERROR(tblReorderReport[[#This Row],[SuggestedOrderQty]]*_xlfn.XLOOKUP(tblReorderReport[[#This Row],[ProductID]],tblProducts[ProductID],tblProducts[UnitCost],0),"")))</f>
        <v/>
      </c>
    </row>
  </sheetData>
  <sheetProtection sheet="1" objects="1" scenarios="1" sort="0" autoFilter="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8E86-2C0E-42FE-B445-73C00C2E575F}">
  <sheetPr codeName="Sheet6"/>
  <dimension ref="A1:D21"/>
  <sheetViews>
    <sheetView workbookViewId="0">
      <selection activeCell="A6" sqref="A6"/>
    </sheetView>
  </sheetViews>
  <sheetFormatPr defaultRowHeight="16.5" x14ac:dyDescent="0.3"/>
  <cols>
    <col min="1" max="1" width="14.6640625" bestFit="1" customWidth="1"/>
    <col min="2" max="2" width="17.21875" bestFit="1" customWidth="1"/>
    <col min="4" max="4" width="6.5546875" bestFit="1" customWidth="1"/>
  </cols>
  <sheetData>
    <row r="1" spans="1:4" x14ac:dyDescent="0.3">
      <c r="A1" s="29" t="s">
        <v>0</v>
      </c>
      <c r="B1" s="29" t="s">
        <v>1</v>
      </c>
      <c r="D1" s="29" t="s">
        <v>37</v>
      </c>
    </row>
    <row r="2" spans="1:4" x14ac:dyDescent="0.3">
      <c r="A2" s="35" t="s">
        <v>2</v>
      </c>
      <c r="B2" t="s">
        <v>3</v>
      </c>
      <c r="D2" t="s">
        <v>30</v>
      </c>
    </row>
    <row r="3" spans="1:4" x14ac:dyDescent="0.3">
      <c r="B3" t="s">
        <v>4</v>
      </c>
      <c r="D3" t="s">
        <v>38</v>
      </c>
    </row>
    <row r="4" spans="1:4" x14ac:dyDescent="0.3">
      <c r="B4" t="s">
        <v>5</v>
      </c>
    </row>
    <row r="6" spans="1:4" x14ac:dyDescent="0.3">
      <c r="A6" s="35" t="s">
        <v>6</v>
      </c>
      <c r="B6" t="s">
        <v>7</v>
      </c>
    </row>
    <row r="7" spans="1:4" x14ac:dyDescent="0.3">
      <c r="B7" t="s">
        <v>8</v>
      </c>
    </row>
    <row r="8" spans="1:4" x14ac:dyDescent="0.3">
      <c r="B8" t="s">
        <v>9</v>
      </c>
    </row>
    <row r="9" spans="1:4" x14ac:dyDescent="0.3">
      <c r="B9" t="s">
        <v>10</v>
      </c>
    </row>
    <row r="10" spans="1:4" x14ac:dyDescent="0.3">
      <c r="B10" t="s">
        <v>11</v>
      </c>
    </row>
    <row r="12" spans="1:4" x14ac:dyDescent="0.3">
      <c r="A12" s="35" t="s">
        <v>12</v>
      </c>
      <c r="B12" t="s">
        <v>13</v>
      </c>
    </row>
    <row r="13" spans="1:4" x14ac:dyDescent="0.3">
      <c r="B13" t="s">
        <v>14</v>
      </c>
    </row>
    <row r="14" spans="1:4" x14ac:dyDescent="0.3">
      <c r="B14" t="s">
        <v>15</v>
      </c>
    </row>
    <row r="15" spans="1:4" x14ac:dyDescent="0.3">
      <c r="B15" t="s">
        <v>16</v>
      </c>
    </row>
    <row r="16" spans="1:4" x14ac:dyDescent="0.3">
      <c r="B16" t="s">
        <v>17</v>
      </c>
    </row>
    <row r="18" spans="1:2" x14ac:dyDescent="0.3">
      <c r="A18" s="35" t="s">
        <v>18</v>
      </c>
      <c r="B18" t="s">
        <v>19</v>
      </c>
    </row>
    <row r="19" spans="1:2" x14ac:dyDescent="0.3">
      <c r="B19" t="s">
        <v>20</v>
      </c>
    </row>
    <row r="20" spans="1:2" x14ac:dyDescent="0.3">
      <c r="B20" t="s">
        <v>21</v>
      </c>
    </row>
    <row r="21" spans="1:2" x14ac:dyDescent="0.3">
      <c r="B21" t="s">
        <v>22</v>
      </c>
    </row>
  </sheetData>
  <sheetProtection sheet="1" objects="1" scenarios="1" autoFilter="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17291-BD93-4ED0-925D-4BDA1E273D5D}">
  <sheetPr codeName="Sheet7"/>
  <dimension ref="A1:A124"/>
  <sheetViews>
    <sheetView showGridLines="0" tabSelected="1" workbookViewId="0">
      <selection activeCell="A19" sqref="A19"/>
    </sheetView>
  </sheetViews>
  <sheetFormatPr defaultRowHeight="16.5" x14ac:dyDescent="0.3"/>
  <cols>
    <col min="1" max="1" width="178.77734375" bestFit="1" customWidth="1"/>
  </cols>
  <sheetData>
    <row r="1" spans="1:1" ht="17.25" x14ac:dyDescent="0.3">
      <c r="A1" s="36" t="s">
        <v>129</v>
      </c>
    </row>
    <row r="2" spans="1:1" x14ac:dyDescent="0.3">
      <c r="A2" s="37" t="s">
        <v>64</v>
      </c>
    </row>
    <row r="3" spans="1:1" x14ac:dyDescent="0.3">
      <c r="A3" s="4" t="s">
        <v>65</v>
      </c>
    </row>
    <row r="4" spans="1:1" ht="17.25" x14ac:dyDescent="0.3">
      <c r="A4" s="36" t="s">
        <v>130</v>
      </c>
    </row>
    <row r="5" spans="1:1" x14ac:dyDescent="0.3">
      <c r="A5" s="4" t="s">
        <v>131</v>
      </c>
    </row>
    <row r="6" spans="1:1" x14ac:dyDescent="0.3">
      <c r="A6" s="38" t="s">
        <v>132</v>
      </c>
    </row>
    <row r="7" spans="1:1" x14ac:dyDescent="0.3">
      <c r="A7" s="38" t="s">
        <v>133</v>
      </c>
    </row>
    <row r="8" spans="1:1" x14ac:dyDescent="0.3">
      <c r="A8" s="38" t="s">
        <v>134</v>
      </c>
    </row>
    <row r="9" spans="1:1" x14ac:dyDescent="0.3">
      <c r="A9" s="38" t="s">
        <v>135</v>
      </c>
    </row>
    <row r="10" spans="1:1" x14ac:dyDescent="0.3">
      <c r="A10" s="38" t="s">
        <v>136</v>
      </c>
    </row>
    <row r="11" spans="1:1" x14ac:dyDescent="0.3">
      <c r="A11" s="38" t="s">
        <v>137</v>
      </c>
    </row>
    <row r="12" spans="1:1" x14ac:dyDescent="0.3">
      <c r="A12" s="38" t="s">
        <v>138</v>
      </c>
    </row>
    <row r="13" spans="1:1" x14ac:dyDescent="0.3">
      <c r="A13" s="4" t="s">
        <v>66</v>
      </c>
    </row>
    <row r="14" spans="1:1" ht="17.25" x14ac:dyDescent="0.3">
      <c r="A14" s="36" t="s">
        <v>139</v>
      </c>
    </row>
    <row r="15" spans="1:1" x14ac:dyDescent="0.3">
      <c r="A15" s="37" t="s">
        <v>67</v>
      </c>
    </row>
    <row r="16" spans="1:1" x14ac:dyDescent="0.3">
      <c r="A16" s="4" t="s">
        <v>140</v>
      </c>
    </row>
    <row r="17" spans="1:1" x14ac:dyDescent="0.3">
      <c r="A17" s="39" t="s">
        <v>68</v>
      </c>
    </row>
    <row r="18" spans="1:1" x14ac:dyDescent="0.3">
      <c r="A18" s="39" t="s">
        <v>69</v>
      </c>
    </row>
    <row r="19" spans="1:1" x14ac:dyDescent="0.3">
      <c r="A19" s="39" t="s">
        <v>70</v>
      </c>
    </row>
    <row r="20" spans="1:1" x14ac:dyDescent="0.3">
      <c r="A20" s="39" t="s">
        <v>71</v>
      </c>
    </row>
    <row r="21" spans="1:1" x14ac:dyDescent="0.3">
      <c r="A21" s="4" t="s">
        <v>72</v>
      </c>
    </row>
    <row r="22" spans="1:1" ht="17.25" x14ac:dyDescent="0.3">
      <c r="A22" s="36" t="s">
        <v>141</v>
      </c>
    </row>
    <row r="23" spans="1:1" x14ac:dyDescent="0.3">
      <c r="A23" s="4" t="s">
        <v>142</v>
      </c>
    </row>
    <row r="24" spans="1:1" x14ac:dyDescent="0.3">
      <c r="A24" s="4" t="s">
        <v>73</v>
      </c>
    </row>
    <row r="25" spans="1:1" x14ac:dyDescent="0.3">
      <c r="A25" s="38" t="s">
        <v>143</v>
      </c>
    </row>
    <row r="26" spans="1:1" x14ac:dyDescent="0.3">
      <c r="A26" s="38" t="s">
        <v>24</v>
      </c>
    </row>
    <row r="27" spans="1:1" x14ac:dyDescent="0.3">
      <c r="A27" s="38" t="s">
        <v>144</v>
      </c>
    </row>
    <row r="28" spans="1:1" x14ac:dyDescent="0.3">
      <c r="A28" s="38" t="s">
        <v>26</v>
      </c>
    </row>
    <row r="29" spans="1:1" x14ac:dyDescent="0.3">
      <c r="A29" s="38" t="s">
        <v>145</v>
      </c>
    </row>
    <row r="30" spans="1:1" x14ac:dyDescent="0.3">
      <c r="A30" s="38" t="s">
        <v>146</v>
      </c>
    </row>
    <row r="31" spans="1:1" x14ac:dyDescent="0.3">
      <c r="A31" s="38" t="s">
        <v>147</v>
      </c>
    </row>
    <row r="32" spans="1:1" x14ac:dyDescent="0.3">
      <c r="A32" s="37" t="s">
        <v>148</v>
      </c>
    </row>
    <row r="33" spans="1:1" ht="17.25" x14ac:dyDescent="0.3">
      <c r="A33" s="36" t="s">
        <v>149</v>
      </c>
    </row>
    <row r="34" spans="1:1" x14ac:dyDescent="0.3">
      <c r="A34" s="4" t="s">
        <v>150</v>
      </c>
    </row>
    <row r="35" spans="1:1" x14ac:dyDescent="0.3">
      <c r="A35" s="4" t="s">
        <v>74</v>
      </c>
    </row>
    <row r="36" spans="1:1" x14ac:dyDescent="0.3">
      <c r="A36" s="37" t="s">
        <v>75</v>
      </c>
    </row>
    <row r="37" spans="1:1" x14ac:dyDescent="0.3">
      <c r="A37" s="38" t="s">
        <v>151</v>
      </c>
    </row>
    <row r="38" spans="1:1" x14ac:dyDescent="0.3">
      <c r="A38" s="38" t="s">
        <v>152</v>
      </c>
    </row>
    <row r="39" spans="1:1" x14ac:dyDescent="0.3">
      <c r="A39" s="38" t="s">
        <v>153</v>
      </c>
    </row>
    <row r="40" spans="1:1" x14ac:dyDescent="0.3">
      <c r="A40" s="38" t="s">
        <v>154</v>
      </c>
    </row>
    <row r="41" spans="1:1" x14ac:dyDescent="0.3">
      <c r="A41" s="37" t="s">
        <v>76</v>
      </c>
    </row>
    <row r="42" spans="1:1" x14ac:dyDescent="0.3">
      <c r="A42" s="38" t="s">
        <v>32</v>
      </c>
    </row>
    <row r="43" spans="1:1" x14ac:dyDescent="0.3">
      <c r="A43" s="38" t="s">
        <v>23</v>
      </c>
    </row>
    <row r="44" spans="1:1" x14ac:dyDescent="0.3">
      <c r="A44" s="38" t="s">
        <v>33</v>
      </c>
    </row>
    <row r="45" spans="1:1" x14ac:dyDescent="0.3">
      <c r="A45" s="38" t="s">
        <v>34</v>
      </c>
    </row>
    <row r="46" spans="1:1" x14ac:dyDescent="0.3">
      <c r="A46" s="38" t="s">
        <v>35</v>
      </c>
    </row>
    <row r="47" spans="1:1" x14ac:dyDescent="0.3">
      <c r="A47" s="37" t="s">
        <v>155</v>
      </c>
    </row>
    <row r="48" spans="1:1" x14ac:dyDescent="0.3">
      <c r="A48" s="39" t="s">
        <v>77</v>
      </c>
    </row>
    <row r="49" spans="1:1" x14ac:dyDescent="0.3">
      <c r="A49" s="39" t="s">
        <v>78</v>
      </c>
    </row>
    <row r="50" spans="1:1" x14ac:dyDescent="0.3">
      <c r="A50" s="39" t="s">
        <v>156</v>
      </c>
    </row>
    <row r="51" spans="1:1" x14ac:dyDescent="0.3">
      <c r="A51" s="39" t="s">
        <v>79</v>
      </c>
    </row>
    <row r="52" spans="1:1" x14ac:dyDescent="0.3">
      <c r="A52" s="4" t="s">
        <v>80</v>
      </c>
    </row>
    <row r="53" spans="1:1" ht="17.25" x14ac:dyDescent="0.3">
      <c r="A53" s="36" t="s">
        <v>157</v>
      </c>
    </row>
    <row r="54" spans="1:1" x14ac:dyDescent="0.3">
      <c r="A54" s="4" t="s">
        <v>158</v>
      </c>
    </row>
    <row r="55" spans="1:1" x14ac:dyDescent="0.3">
      <c r="A55" s="4" t="s">
        <v>81</v>
      </c>
    </row>
    <row r="56" spans="1:1" x14ac:dyDescent="0.3">
      <c r="A56" s="38" t="s">
        <v>82</v>
      </c>
    </row>
    <row r="57" spans="1:1" x14ac:dyDescent="0.3">
      <c r="A57" s="38" t="s">
        <v>83</v>
      </c>
    </row>
    <row r="58" spans="1:1" x14ac:dyDescent="0.3">
      <c r="A58" s="38" t="s">
        <v>159</v>
      </c>
    </row>
    <row r="59" spans="1:1" x14ac:dyDescent="0.3">
      <c r="A59" s="4" t="s">
        <v>84</v>
      </c>
    </row>
    <row r="60" spans="1:1" x14ac:dyDescent="0.3">
      <c r="A60" s="4" t="s">
        <v>85</v>
      </c>
    </row>
    <row r="61" spans="1:1" ht="17.25" x14ac:dyDescent="0.3">
      <c r="A61" s="36" t="s">
        <v>160</v>
      </c>
    </row>
    <row r="62" spans="1:1" x14ac:dyDescent="0.3">
      <c r="A62" s="4" t="s">
        <v>161</v>
      </c>
    </row>
    <row r="63" spans="1:1" x14ac:dyDescent="0.3">
      <c r="A63" s="4" t="s">
        <v>86</v>
      </c>
    </row>
    <row r="64" spans="1:1" x14ac:dyDescent="0.3">
      <c r="A64" s="39" t="s">
        <v>27</v>
      </c>
    </row>
    <row r="65" spans="1:1" x14ac:dyDescent="0.3">
      <c r="A65" s="39" t="s">
        <v>62</v>
      </c>
    </row>
    <row r="66" spans="1:1" x14ac:dyDescent="0.3">
      <c r="A66" s="39" t="s">
        <v>33</v>
      </c>
    </row>
    <row r="67" spans="1:1" x14ac:dyDescent="0.3">
      <c r="A67" s="39" t="s">
        <v>87</v>
      </c>
    </row>
    <row r="68" spans="1:1" x14ac:dyDescent="0.3">
      <c r="A68" s="39" t="s">
        <v>88</v>
      </c>
    </row>
    <row r="69" spans="1:1" x14ac:dyDescent="0.3">
      <c r="A69" s="39" t="s">
        <v>89</v>
      </c>
    </row>
    <row r="70" spans="1:1" x14ac:dyDescent="0.3">
      <c r="A70" s="39" t="s">
        <v>90</v>
      </c>
    </row>
    <row r="71" spans="1:1" x14ac:dyDescent="0.3">
      <c r="A71" s="4" t="s">
        <v>91</v>
      </c>
    </row>
    <row r="72" spans="1:1" ht="17.25" x14ac:dyDescent="0.3">
      <c r="A72" s="36" t="s">
        <v>162</v>
      </c>
    </row>
    <row r="73" spans="1:1" x14ac:dyDescent="0.3">
      <c r="A73" s="4" t="s">
        <v>92</v>
      </c>
    </row>
    <row r="74" spans="1:1" x14ac:dyDescent="0.3">
      <c r="A74" s="4" t="s">
        <v>93</v>
      </c>
    </row>
    <row r="75" spans="1:1" x14ac:dyDescent="0.3">
      <c r="A75" s="39" t="s">
        <v>94</v>
      </c>
    </row>
    <row r="76" spans="1:1" x14ac:dyDescent="0.3">
      <c r="A76" s="39" t="s">
        <v>95</v>
      </c>
    </row>
    <row r="77" spans="1:1" x14ac:dyDescent="0.3">
      <c r="A77" s="39" t="s">
        <v>96</v>
      </c>
    </row>
    <row r="78" spans="1:1" x14ac:dyDescent="0.3">
      <c r="A78" s="39" t="s">
        <v>163</v>
      </c>
    </row>
    <row r="79" spans="1:1" x14ac:dyDescent="0.3">
      <c r="A79" s="39" t="s">
        <v>97</v>
      </c>
    </row>
    <row r="80" spans="1:1" x14ac:dyDescent="0.3">
      <c r="A80" s="39" t="s">
        <v>98</v>
      </c>
    </row>
    <row r="81" spans="1:1" x14ac:dyDescent="0.3">
      <c r="A81" s="39" t="s">
        <v>99</v>
      </c>
    </row>
    <row r="82" spans="1:1" x14ac:dyDescent="0.3">
      <c r="A82" s="39" t="s">
        <v>100</v>
      </c>
    </row>
    <row r="83" spans="1:1" x14ac:dyDescent="0.3">
      <c r="A83" s="4" t="s">
        <v>101</v>
      </c>
    </row>
    <row r="84" spans="1:1" x14ac:dyDescent="0.3">
      <c r="A84" s="39" t="s">
        <v>25</v>
      </c>
    </row>
    <row r="85" spans="1:1" x14ac:dyDescent="0.3">
      <c r="A85" s="39" t="s">
        <v>27</v>
      </c>
    </row>
    <row r="86" spans="1:1" x14ac:dyDescent="0.3">
      <c r="A86" s="39" t="s">
        <v>33</v>
      </c>
    </row>
    <row r="87" spans="1:1" x14ac:dyDescent="0.3">
      <c r="A87" s="39" t="s">
        <v>32</v>
      </c>
    </row>
    <row r="88" spans="1:1" x14ac:dyDescent="0.3">
      <c r="A88" s="4" t="s">
        <v>102</v>
      </c>
    </row>
    <row r="89" spans="1:1" ht="17.25" x14ac:dyDescent="0.3">
      <c r="A89" s="36" t="s">
        <v>164</v>
      </c>
    </row>
    <row r="90" spans="1:1" ht="17.25" x14ac:dyDescent="0.3">
      <c r="A90" s="40" t="s">
        <v>165</v>
      </c>
    </row>
    <row r="91" spans="1:1" x14ac:dyDescent="0.3">
      <c r="A91" s="4" t="s">
        <v>103</v>
      </c>
    </row>
    <row r="92" spans="1:1" ht="17.25" x14ac:dyDescent="0.3">
      <c r="A92" s="40" t="s">
        <v>166</v>
      </c>
    </row>
    <row r="93" spans="1:1" x14ac:dyDescent="0.3">
      <c r="A93" s="4" t="s">
        <v>104</v>
      </c>
    </row>
    <row r="94" spans="1:1" ht="17.25" x14ac:dyDescent="0.3">
      <c r="A94" s="40" t="s">
        <v>167</v>
      </c>
    </row>
    <row r="95" spans="1:1" x14ac:dyDescent="0.3">
      <c r="A95" s="4" t="s">
        <v>105</v>
      </c>
    </row>
    <row r="96" spans="1:1" ht="17.25" x14ac:dyDescent="0.3">
      <c r="A96" s="40" t="s">
        <v>168</v>
      </c>
    </row>
    <row r="97" spans="1:1" x14ac:dyDescent="0.3">
      <c r="A97" s="4" t="s">
        <v>106</v>
      </c>
    </row>
    <row r="98" spans="1:1" ht="17.25" x14ac:dyDescent="0.3">
      <c r="A98" s="40" t="s">
        <v>169</v>
      </c>
    </row>
    <row r="99" spans="1:1" x14ac:dyDescent="0.3">
      <c r="A99" s="4" t="s">
        <v>107</v>
      </c>
    </row>
    <row r="100" spans="1:1" ht="17.25" x14ac:dyDescent="0.3">
      <c r="A100" s="36" t="s">
        <v>170</v>
      </c>
    </row>
    <row r="101" spans="1:1" x14ac:dyDescent="0.3">
      <c r="A101" s="37" t="s">
        <v>108</v>
      </c>
    </row>
    <row r="102" spans="1:1" x14ac:dyDescent="0.3">
      <c r="A102" s="39" t="s">
        <v>109</v>
      </c>
    </row>
    <row r="103" spans="1:1" x14ac:dyDescent="0.3">
      <c r="A103" s="39" t="s">
        <v>110</v>
      </c>
    </row>
    <row r="104" spans="1:1" x14ac:dyDescent="0.3">
      <c r="A104" s="39" t="s">
        <v>111</v>
      </c>
    </row>
    <row r="105" spans="1:1" x14ac:dyDescent="0.3">
      <c r="A105" s="39" t="s">
        <v>112</v>
      </c>
    </row>
    <row r="106" spans="1:1" x14ac:dyDescent="0.3">
      <c r="A106" s="37" t="s">
        <v>113</v>
      </c>
    </row>
    <row r="107" spans="1:1" x14ac:dyDescent="0.3">
      <c r="A107" s="39" t="s">
        <v>114</v>
      </c>
    </row>
    <row r="108" spans="1:1" x14ac:dyDescent="0.3">
      <c r="A108" s="39" t="s">
        <v>115</v>
      </c>
    </row>
    <row r="109" spans="1:1" x14ac:dyDescent="0.3">
      <c r="A109" s="39" t="s">
        <v>116</v>
      </c>
    </row>
    <row r="110" spans="1:1" x14ac:dyDescent="0.3">
      <c r="A110" s="37" t="s">
        <v>117</v>
      </c>
    </row>
    <row r="111" spans="1:1" x14ac:dyDescent="0.3">
      <c r="A111" s="39" t="s">
        <v>118</v>
      </c>
    </row>
    <row r="112" spans="1:1" x14ac:dyDescent="0.3">
      <c r="A112" s="39" t="s">
        <v>119</v>
      </c>
    </row>
    <row r="113" spans="1:1" ht="17.25" x14ac:dyDescent="0.3">
      <c r="A113" s="36" t="s">
        <v>171</v>
      </c>
    </row>
    <row r="114" spans="1:1" x14ac:dyDescent="0.3">
      <c r="A114" s="37" t="s">
        <v>120</v>
      </c>
    </row>
    <row r="115" spans="1:1" x14ac:dyDescent="0.3">
      <c r="A115" s="39" t="s">
        <v>121</v>
      </c>
    </row>
    <row r="116" spans="1:1" x14ac:dyDescent="0.3">
      <c r="A116" s="39" t="s">
        <v>122</v>
      </c>
    </row>
    <row r="117" spans="1:1" x14ac:dyDescent="0.3">
      <c r="A117" s="39" t="s">
        <v>123</v>
      </c>
    </row>
    <row r="118" spans="1:1" x14ac:dyDescent="0.3">
      <c r="A118" s="37" t="s">
        <v>124</v>
      </c>
    </row>
    <row r="119" spans="1:1" x14ac:dyDescent="0.3">
      <c r="A119" s="39" t="s">
        <v>125</v>
      </c>
    </row>
    <row r="120" spans="1:1" x14ac:dyDescent="0.3">
      <c r="A120" s="39" t="s">
        <v>126</v>
      </c>
    </row>
    <row r="121" spans="1:1" x14ac:dyDescent="0.3">
      <c r="A121" s="39" t="s">
        <v>127</v>
      </c>
    </row>
    <row r="122" spans="1:1" ht="17.25" x14ac:dyDescent="0.3">
      <c r="A122" s="36" t="s">
        <v>172</v>
      </c>
    </row>
    <row r="123" spans="1:1" x14ac:dyDescent="0.3">
      <c r="A123" s="4" t="s">
        <v>128</v>
      </c>
    </row>
    <row r="124" spans="1:1" x14ac:dyDescent="0.3">
      <c r="A124" s="4"/>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9C4F6-21C4-40B6-9721-4332668993CA}">
  <sheetPr codeName="Sheet8"/>
  <dimension ref="A6:C42"/>
  <sheetViews>
    <sheetView workbookViewId="0">
      <selection activeCell="G22" sqref="G22"/>
    </sheetView>
  </sheetViews>
  <sheetFormatPr defaultRowHeight="16.5" x14ac:dyDescent="0.3"/>
  <sheetData>
    <row r="6" spans="1:3" x14ac:dyDescent="0.3">
      <c r="A6" s="55"/>
      <c r="B6" s="56"/>
      <c r="C6" s="57"/>
    </row>
    <row r="7" spans="1:3" x14ac:dyDescent="0.3">
      <c r="A7" s="58"/>
      <c r="B7" s="59"/>
      <c r="C7" s="60"/>
    </row>
    <row r="8" spans="1:3" x14ac:dyDescent="0.3">
      <c r="A8" s="58"/>
      <c r="B8" s="59"/>
      <c r="C8" s="60"/>
    </row>
    <row r="9" spans="1:3" x14ac:dyDescent="0.3">
      <c r="A9" s="58"/>
      <c r="B9" s="59"/>
      <c r="C9" s="60"/>
    </row>
    <row r="10" spans="1:3" x14ac:dyDescent="0.3">
      <c r="A10" s="58"/>
      <c r="B10" s="59"/>
      <c r="C10" s="60"/>
    </row>
    <row r="11" spans="1:3" x14ac:dyDescent="0.3">
      <c r="A11" s="58"/>
      <c r="B11" s="59"/>
      <c r="C11" s="60"/>
    </row>
    <row r="12" spans="1:3" x14ac:dyDescent="0.3">
      <c r="A12" s="58"/>
      <c r="B12" s="59"/>
      <c r="C12" s="60"/>
    </row>
    <row r="13" spans="1:3" x14ac:dyDescent="0.3">
      <c r="A13" s="58"/>
      <c r="B13" s="59"/>
      <c r="C13" s="60"/>
    </row>
    <row r="14" spans="1:3" x14ac:dyDescent="0.3">
      <c r="A14" s="58"/>
      <c r="B14" s="59"/>
      <c r="C14" s="60"/>
    </row>
    <row r="15" spans="1:3" x14ac:dyDescent="0.3">
      <c r="A15" s="58"/>
      <c r="B15" s="59"/>
      <c r="C15" s="60"/>
    </row>
    <row r="16" spans="1:3" x14ac:dyDescent="0.3">
      <c r="A16" s="58"/>
      <c r="B16" s="59"/>
      <c r="C16" s="60"/>
    </row>
    <row r="17" spans="1:3" x14ac:dyDescent="0.3">
      <c r="A17" s="58"/>
      <c r="B17" s="59"/>
      <c r="C17" s="60"/>
    </row>
    <row r="18" spans="1:3" x14ac:dyDescent="0.3">
      <c r="A18" s="58"/>
      <c r="B18" s="59"/>
      <c r="C18" s="60"/>
    </row>
    <row r="19" spans="1:3" x14ac:dyDescent="0.3">
      <c r="A19" s="58"/>
      <c r="B19" s="59"/>
      <c r="C19" s="60"/>
    </row>
    <row r="20" spans="1:3" x14ac:dyDescent="0.3">
      <c r="A20" s="58"/>
      <c r="B20" s="59"/>
      <c r="C20" s="60"/>
    </row>
    <row r="21" spans="1:3" x14ac:dyDescent="0.3">
      <c r="A21" s="58"/>
      <c r="B21" s="59"/>
      <c r="C21" s="60"/>
    </row>
    <row r="22" spans="1:3" x14ac:dyDescent="0.3">
      <c r="A22" s="58"/>
      <c r="B22" s="59"/>
      <c r="C22" s="60"/>
    </row>
    <row r="23" spans="1:3" x14ac:dyDescent="0.3">
      <c r="A23" s="61"/>
      <c r="B23" s="62"/>
      <c r="C23" s="63"/>
    </row>
    <row r="25" spans="1:3" x14ac:dyDescent="0.3">
      <c r="A25" s="55"/>
      <c r="B25" s="56"/>
      <c r="C25" s="57"/>
    </row>
    <row r="26" spans="1:3" x14ac:dyDescent="0.3">
      <c r="A26" s="58"/>
      <c r="B26" s="59"/>
      <c r="C26" s="60"/>
    </row>
    <row r="27" spans="1:3" x14ac:dyDescent="0.3">
      <c r="A27" s="58"/>
      <c r="B27" s="59"/>
      <c r="C27" s="60"/>
    </row>
    <row r="28" spans="1:3" x14ac:dyDescent="0.3">
      <c r="A28" s="58"/>
      <c r="B28" s="59"/>
      <c r="C28" s="60"/>
    </row>
    <row r="29" spans="1:3" x14ac:dyDescent="0.3">
      <c r="A29" s="58"/>
      <c r="B29" s="59"/>
      <c r="C29" s="60"/>
    </row>
    <row r="30" spans="1:3" x14ac:dyDescent="0.3">
      <c r="A30" s="58"/>
      <c r="B30" s="59"/>
      <c r="C30" s="60"/>
    </row>
    <row r="31" spans="1:3" x14ac:dyDescent="0.3">
      <c r="A31" s="58"/>
      <c r="B31" s="59"/>
      <c r="C31" s="60"/>
    </row>
    <row r="32" spans="1:3" x14ac:dyDescent="0.3">
      <c r="A32" s="58"/>
      <c r="B32" s="59"/>
      <c r="C32" s="60"/>
    </row>
    <row r="33" spans="1:3" x14ac:dyDescent="0.3">
      <c r="A33" s="58"/>
      <c r="B33" s="59"/>
      <c r="C33" s="60"/>
    </row>
    <row r="34" spans="1:3" x14ac:dyDescent="0.3">
      <c r="A34" s="58"/>
      <c r="B34" s="59"/>
      <c r="C34" s="60"/>
    </row>
    <row r="35" spans="1:3" x14ac:dyDescent="0.3">
      <c r="A35" s="58"/>
      <c r="B35" s="59"/>
      <c r="C35" s="60"/>
    </row>
    <row r="36" spans="1:3" x14ac:dyDescent="0.3">
      <c r="A36" s="58"/>
      <c r="B36" s="59"/>
      <c r="C36" s="60"/>
    </row>
    <row r="37" spans="1:3" x14ac:dyDescent="0.3">
      <c r="A37" s="58"/>
      <c r="B37" s="59"/>
      <c r="C37" s="60"/>
    </row>
    <row r="38" spans="1:3" x14ac:dyDescent="0.3">
      <c r="A38" s="58"/>
      <c r="B38" s="59"/>
      <c r="C38" s="60"/>
    </row>
    <row r="39" spans="1:3" x14ac:dyDescent="0.3">
      <c r="A39" s="58"/>
      <c r="B39" s="59"/>
      <c r="C39" s="60"/>
    </row>
    <row r="40" spans="1:3" x14ac:dyDescent="0.3">
      <c r="A40" s="58"/>
      <c r="B40" s="59"/>
      <c r="C40" s="60"/>
    </row>
    <row r="41" spans="1:3" x14ac:dyDescent="0.3">
      <c r="A41" s="58"/>
      <c r="B41" s="59"/>
      <c r="C41" s="60"/>
    </row>
    <row r="42" spans="1:3" x14ac:dyDescent="0.3">
      <c r="A42" s="61"/>
      <c r="B42" s="62"/>
      <c r="C42" s="63"/>
    </row>
  </sheetData>
  <sheetProtection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675DE-556E-4EA3-9908-98C6677AA3A4}">
  <sheetPr codeName="Sheet9"/>
  <dimension ref="A1:U501"/>
  <sheetViews>
    <sheetView workbookViewId="0">
      <selection activeCell="D15" sqref="D15"/>
    </sheetView>
  </sheetViews>
  <sheetFormatPr defaultRowHeight="16.5" x14ac:dyDescent="0.3"/>
  <cols>
    <col min="1" max="1" width="21" style="5" bestFit="1" customWidth="1"/>
    <col min="2" max="2" width="10.44140625" bestFit="1" customWidth="1"/>
    <col min="3" max="3" width="9.21875" bestFit="1" customWidth="1"/>
    <col min="4" max="4" width="9.33203125" bestFit="1" customWidth="1"/>
    <col min="5" max="5" width="12.109375" bestFit="1" customWidth="1"/>
    <col min="6" max="6" width="16.109375" bestFit="1" customWidth="1"/>
    <col min="7" max="7" width="12.6640625" bestFit="1" customWidth="1"/>
    <col min="8" max="8" width="17.21875" bestFit="1" customWidth="1"/>
    <col min="9" max="9" width="11.21875" bestFit="1" customWidth="1"/>
    <col min="11" max="11" width="11.109375" bestFit="1" customWidth="1"/>
    <col min="12" max="12" width="13.44140625" bestFit="1" customWidth="1"/>
    <col min="14" max="14" width="11.109375" bestFit="1" customWidth="1"/>
    <col min="15" max="15" width="15.33203125" bestFit="1" customWidth="1"/>
    <col min="17" max="17" width="11.109375" bestFit="1" customWidth="1"/>
    <col min="18" max="18" width="13.44140625" bestFit="1" customWidth="1"/>
    <col min="20" max="20" width="11.109375" bestFit="1" customWidth="1"/>
    <col min="21" max="21" width="13.44140625" bestFit="1" customWidth="1"/>
  </cols>
  <sheetData>
    <row r="1" spans="1:21" x14ac:dyDescent="0.3">
      <c r="A1" s="5" t="s">
        <v>32</v>
      </c>
      <c r="B1" t="s">
        <v>23</v>
      </c>
      <c r="C1" t="s">
        <v>33</v>
      </c>
      <c r="D1" t="s">
        <v>34</v>
      </c>
      <c r="E1" t="s">
        <v>35</v>
      </c>
      <c r="F1" t="s">
        <v>24</v>
      </c>
      <c r="G1" t="s">
        <v>25</v>
      </c>
      <c r="H1" t="s">
        <v>27</v>
      </c>
      <c r="I1" t="s">
        <v>50</v>
      </c>
      <c r="K1" s="51" t="s">
        <v>173</v>
      </c>
      <c r="L1" s="52" t="s">
        <v>175</v>
      </c>
      <c r="N1" s="51" t="s">
        <v>173</v>
      </c>
      <c r="O1" s="52" t="s">
        <v>176</v>
      </c>
      <c r="Q1" s="51" t="s">
        <v>173</v>
      </c>
      <c r="R1" s="52" t="s">
        <v>175</v>
      </c>
      <c r="T1" s="51" t="s">
        <v>173</v>
      </c>
      <c r="U1" s="52" t="s">
        <v>175</v>
      </c>
    </row>
    <row r="2" spans="1:21" x14ac:dyDescent="0.3">
      <c r="A2" s="5" t="str">
        <f>IFERROR(IF(OR(INDEX(tblTrans[ProductID],1)="",ISNUMBER(SEARCH("ProductID",INDEX(tblTrans[ProductID],1)))),"",INDEX(tblTrans[Date],1)),"")</f>
        <v/>
      </c>
      <c r="B2" t="str">
        <f>IFERROR(IF(OR(INDEX(tblTrans[ProductID],1)="",ISNUMBER(SEARCH("ProductID",INDEX(tblTrans[ProductID],1)))),"",INDEX(tblTrans[ProductID],1)),"")</f>
        <v/>
      </c>
      <c r="C2" t="str">
        <f>IFERROR(IF(OR(INDEX(tblTrans[ProductID],1)="",ISNUMBER(SEARCH("ProductID",INDEX(tblTrans[ProductID],1)))),"",INDEX(tblTrans[Location],1)),"")</f>
        <v/>
      </c>
      <c r="D2" t="str">
        <f>IFERROR(IF(OR(INDEX(tblTrans[ProductID],1)="",ISNUMBER(SEARCH("ProductID",INDEX(tblTrans[ProductID],1)))),"",INDEX(tblTrans[Quantity],1)),"")</f>
        <v/>
      </c>
      <c r="E2" t="str">
        <f>IFERROR(IF(OR(INDEX(tblTrans[ProductID],1)="",ISNUMBER(SEARCH("ProductID",INDEX(tblTrans[ProductID],1)))),"",INDEX(tblTrans[Type],1)),"")</f>
        <v/>
      </c>
      <c r="F2" t="str">
        <f>IFERROR(IF(OR(INDEX(tblTrans[ProductID],1)="",ISNUMBER(SEARCH("ProductID",INDEX(tblTrans[ProductID],1)))),"",_xlfn.XLOOKUP(B2,tblProducts[ProductID],tblProducts[ProductName],"")),"")</f>
        <v/>
      </c>
      <c r="G2" t="str">
        <f>IFERROR(IF(OR(INDEX(tblTrans[ProductID],1)="",ISNUMBER(SEARCH("ProductID",INDEX(tblTrans[ProductID],1)))),"",_xlfn.XLOOKUP(B2,tblProducts[ProductID],tblProducts[Category],"")),"")</f>
        <v/>
      </c>
      <c r="H2" t="str">
        <f>IFERROR(IF(OR(INDEX(tblTrans[ProductID],1)="",ISNUMBER(SEARCH("ProductID",INDEX(tblTrans[ProductID],1)))),"",_xlfn.XLOOKUP(B2,tblProducts[ProductID],tblProducts[Supplier],"")),"")</f>
        <v/>
      </c>
      <c r="I2" t="str">
        <f>IFERROR(IF(OR(INDEX(tblTrans[ProductID],1)="",ISNUMBER(SEARCH("ProductID",INDEX(tblTrans[ProductID],1)))),"",D2*_xlfn.XLOOKUP(B2,tblProducts[ProductID],tblProducts[UnitCost],0)),"")</f>
        <v/>
      </c>
      <c r="K2" s="53"/>
      <c r="L2" s="54">
        <v>0</v>
      </c>
      <c r="N2" s="53"/>
      <c r="O2" s="54">
        <v>0</v>
      </c>
      <c r="Q2" s="53"/>
      <c r="R2" s="54">
        <v>0</v>
      </c>
      <c r="T2" s="53"/>
      <c r="U2" s="54">
        <v>0</v>
      </c>
    </row>
    <row r="3" spans="1:21" x14ac:dyDescent="0.3">
      <c r="A3" s="5" t="str">
        <f>IFERROR(IF(OR(INDEX(tblTrans[ProductID],2)="",ISNUMBER(SEARCH("ProductID",INDEX(tblTrans[ProductID],2)))),"",INDEX(tblTrans[Date],2)),"")</f>
        <v/>
      </c>
      <c r="B3" t="str">
        <f>IFERROR(IF(OR(INDEX(tblTrans[ProductID],2)="",ISNUMBER(SEARCH("ProductID",INDEX(tblTrans[ProductID],2)))),"",INDEX(tblTrans[ProductID],2)),"")</f>
        <v/>
      </c>
      <c r="C3" t="str">
        <f>IFERROR(IF(OR(INDEX(tblTrans[ProductID],2)="",ISNUMBER(SEARCH("ProductID",INDEX(tblTrans[ProductID],2)))),"",INDEX(tblTrans[Location],2)),"")</f>
        <v/>
      </c>
      <c r="D3" t="str">
        <f>IFERROR(IF(OR(INDEX(tblTrans[ProductID],2)="",ISNUMBER(SEARCH("ProductID",INDEX(tblTrans[ProductID],2)))),"",INDEX(tblTrans[Quantity],2)),"")</f>
        <v/>
      </c>
      <c r="E3" t="str">
        <f>IFERROR(IF(OR(INDEX(tblTrans[ProductID],2)="",ISNUMBER(SEARCH("ProductID",INDEX(tblTrans[ProductID],2)))),"",INDEX(tblTrans[Type],2)),"")</f>
        <v/>
      </c>
      <c r="F3" t="str">
        <f>IFERROR(IF(OR(INDEX(tblTrans[ProductID],2)="",ISNUMBER(SEARCH("ProductID",INDEX(tblTrans[ProductID],2)))),"",_xlfn.XLOOKUP(B3,tblProducts[ProductID],tblProducts[ProductName],"")),"")</f>
        <v/>
      </c>
      <c r="G3" t="str">
        <f>IFERROR(IF(OR(INDEX(tblTrans[ProductID],2)="",ISNUMBER(SEARCH("ProductID",INDEX(tblTrans[ProductID],2)))),"",_xlfn.XLOOKUP(B3,tblProducts[ProductID],tblProducts[Category],"")),"")</f>
        <v/>
      </c>
      <c r="H3" t="str">
        <f>IFERROR(IF(OR(INDEX(tblTrans[ProductID],2)="",ISNUMBER(SEARCH("ProductID",INDEX(tblTrans[ProductID],2)))),"",_xlfn.XLOOKUP(B3,tblProducts[ProductID],tblProducts[Supplier],"")),"")</f>
        <v/>
      </c>
      <c r="I3" t="str">
        <f>IFERROR(IF(OR(INDEX(tblTrans[ProductID],2)="",ISNUMBER(SEARCH("ProductID",INDEX(tblTrans[ProductID],2)))),"",D3*_xlfn.XLOOKUP(B3,tblProducts[ProductID],tblProducts[UnitCost],0)),"")</f>
        <v/>
      </c>
      <c r="K3" s="53" t="s">
        <v>174</v>
      </c>
      <c r="L3" s="54">
        <v>0</v>
      </c>
      <c r="N3" s="53" t="s">
        <v>174</v>
      </c>
      <c r="O3" s="54">
        <v>0</v>
      </c>
      <c r="Q3" s="53" t="s">
        <v>174</v>
      </c>
      <c r="R3" s="54">
        <v>0</v>
      </c>
      <c r="T3" s="53" t="s">
        <v>174</v>
      </c>
      <c r="U3" s="54">
        <v>0</v>
      </c>
    </row>
    <row r="4" spans="1:21" x14ac:dyDescent="0.3">
      <c r="A4" s="5" t="str">
        <f>IFERROR(IF(OR(INDEX(tblTrans[ProductID],3)="",ISNUMBER(SEARCH("ProductID",INDEX(tblTrans[ProductID],3)))),"",INDEX(tblTrans[Date],3)),"")</f>
        <v/>
      </c>
      <c r="B4" t="str">
        <f>IFERROR(IF(OR(INDEX(tblTrans[ProductID],3)="",ISNUMBER(SEARCH("ProductID",INDEX(tblTrans[ProductID],3)))),"",INDEX(tblTrans[ProductID],3)),"")</f>
        <v/>
      </c>
      <c r="C4" t="str">
        <f>IFERROR(IF(OR(INDEX(tblTrans[ProductID],3)="",ISNUMBER(SEARCH("ProductID",INDEX(tblTrans[ProductID],3)))),"",INDEX(tblTrans[Location],3)),"")</f>
        <v/>
      </c>
      <c r="D4" t="str">
        <f>IFERROR(IF(OR(INDEX(tblTrans[ProductID],3)="",ISNUMBER(SEARCH("ProductID",INDEX(tblTrans[ProductID],3)))),"",INDEX(tblTrans[Quantity],3)),"")</f>
        <v/>
      </c>
      <c r="E4" t="str">
        <f>IFERROR(IF(OR(INDEX(tblTrans[ProductID],3)="",ISNUMBER(SEARCH("ProductID",INDEX(tblTrans[ProductID],3)))),"",INDEX(tblTrans[Type],3)),"")</f>
        <v/>
      </c>
      <c r="F4" t="str">
        <f>IFERROR(IF(OR(INDEX(tblTrans[ProductID],3)="",ISNUMBER(SEARCH("ProductID",INDEX(tblTrans[ProductID],3)))),"",_xlfn.XLOOKUP(B4,tblProducts[ProductID],tblProducts[ProductName],"")),"")</f>
        <v/>
      </c>
      <c r="G4" t="str">
        <f>IFERROR(IF(OR(INDEX(tblTrans[ProductID],3)="",ISNUMBER(SEARCH("ProductID",INDEX(tblTrans[ProductID],3)))),"",_xlfn.XLOOKUP(B4,tblProducts[ProductID],tblProducts[Category],"")),"")</f>
        <v/>
      </c>
      <c r="H4" t="str">
        <f>IFERROR(IF(OR(INDEX(tblTrans[ProductID],3)="",ISNUMBER(SEARCH("ProductID",INDEX(tblTrans[ProductID],3)))),"",_xlfn.XLOOKUP(B4,tblProducts[ProductID],tblProducts[Supplier],"")),"")</f>
        <v/>
      </c>
      <c r="I4" t="str">
        <f>IFERROR(IF(OR(INDEX(tblTrans[ProductID],3)="",ISNUMBER(SEARCH("ProductID",INDEX(tblTrans[ProductID],3)))),"",D4*_xlfn.XLOOKUP(B4,tblProducts[ProductID],tblProducts[UnitCost],0)),"")</f>
        <v/>
      </c>
    </row>
    <row r="5" spans="1:21" x14ac:dyDescent="0.3">
      <c r="A5" s="5" t="str">
        <f>IFERROR(IF(OR(INDEX(tblTrans[ProductID],4)="",ISNUMBER(SEARCH("ProductID",INDEX(tblTrans[ProductID],4)))),"",INDEX(tblTrans[Date],4)),"")</f>
        <v/>
      </c>
      <c r="B5" t="str">
        <f>IFERROR(IF(OR(INDEX(tblTrans[ProductID],4)="",ISNUMBER(SEARCH("ProductID",INDEX(tblTrans[ProductID],4)))),"",INDEX(tblTrans[ProductID],4)),"")</f>
        <v/>
      </c>
      <c r="C5" t="str">
        <f>IFERROR(IF(OR(INDEX(tblTrans[ProductID],4)="",ISNUMBER(SEARCH("ProductID",INDEX(tblTrans[ProductID],4)))),"",INDEX(tblTrans[Location],4)),"")</f>
        <v/>
      </c>
      <c r="D5" t="str">
        <f>IFERROR(IF(OR(INDEX(tblTrans[ProductID],4)="",ISNUMBER(SEARCH("ProductID",INDEX(tblTrans[ProductID],4)))),"",INDEX(tblTrans[Quantity],4)),"")</f>
        <v/>
      </c>
      <c r="E5" t="str">
        <f>IFERROR(IF(OR(INDEX(tblTrans[ProductID],4)="",ISNUMBER(SEARCH("ProductID",INDEX(tblTrans[ProductID],4)))),"",INDEX(tblTrans[Type],4)),"")</f>
        <v/>
      </c>
      <c r="F5" t="str">
        <f>IFERROR(IF(OR(INDEX(tblTrans[ProductID],4)="",ISNUMBER(SEARCH("ProductID",INDEX(tblTrans[ProductID],4)))),"",_xlfn.XLOOKUP(B5,tblProducts[ProductID],tblProducts[ProductName],"")),"")</f>
        <v/>
      </c>
      <c r="G5" t="str">
        <f>IFERROR(IF(OR(INDEX(tblTrans[ProductID],4)="",ISNUMBER(SEARCH("ProductID",INDEX(tblTrans[ProductID],4)))),"",_xlfn.XLOOKUP(B5,tblProducts[ProductID],tblProducts[Category],"")),"")</f>
        <v/>
      </c>
      <c r="H5" t="str">
        <f>IFERROR(IF(OR(INDEX(tblTrans[ProductID],4)="",ISNUMBER(SEARCH("ProductID",INDEX(tblTrans[ProductID],4)))),"",_xlfn.XLOOKUP(B5,tblProducts[ProductID],tblProducts[Supplier],"")),"")</f>
        <v/>
      </c>
      <c r="I5" t="str">
        <f>IFERROR(IF(OR(INDEX(tblTrans[ProductID],4)="",ISNUMBER(SEARCH("ProductID",INDEX(tblTrans[ProductID],4)))),"",D5*_xlfn.XLOOKUP(B5,tblProducts[ProductID],tblProducts[UnitCost],0)),"")</f>
        <v/>
      </c>
    </row>
    <row r="6" spans="1:21" x14ac:dyDescent="0.3">
      <c r="A6" s="5" t="str">
        <f>IFERROR(IF(OR(INDEX(tblTrans[ProductID],5)="",ISNUMBER(SEARCH("ProductID",INDEX(tblTrans[ProductID],5)))),"",INDEX(tblTrans[Date],5)),"")</f>
        <v/>
      </c>
      <c r="B6" t="str">
        <f>IFERROR(IF(OR(INDEX(tblTrans[ProductID],5)="",ISNUMBER(SEARCH("ProductID",INDEX(tblTrans[ProductID],5)))),"",INDEX(tblTrans[ProductID],5)),"")</f>
        <v/>
      </c>
      <c r="C6" t="str">
        <f>IFERROR(IF(OR(INDEX(tblTrans[ProductID],5)="",ISNUMBER(SEARCH("ProductID",INDEX(tblTrans[ProductID],5)))),"",INDEX(tblTrans[Location],5)),"")</f>
        <v/>
      </c>
      <c r="D6" t="str">
        <f>IFERROR(IF(OR(INDEX(tblTrans[ProductID],5)="",ISNUMBER(SEARCH("ProductID",INDEX(tblTrans[ProductID],5)))),"",INDEX(tblTrans[Quantity],5)),"")</f>
        <v/>
      </c>
      <c r="E6" t="str">
        <f>IFERROR(IF(OR(INDEX(tblTrans[ProductID],5)="",ISNUMBER(SEARCH("ProductID",INDEX(tblTrans[ProductID],5)))),"",INDEX(tblTrans[Type],5)),"")</f>
        <v/>
      </c>
      <c r="F6" t="str">
        <f>IFERROR(IF(OR(INDEX(tblTrans[ProductID],5)="",ISNUMBER(SEARCH("ProductID",INDEX(tblTrans[ProductID],5)))),"",_xlfn.XLOOKUP(B6,tblProducts[ProductID],tblProducts[ProductName],"")),"")</f>
        <v/>
      </c>
      <c r="G6" t="str">
        <f>IFERROR(IF(OR(INDEX(tblTrans[ProductID],5)="",ISNUMBER(SEARCH("ProductID",INDEX(tblTrans[ProductID],5)))),"",_xlfn.XLOOKUP(B6,tblProducts[ProductID],tblProducts[Category],"")),"")</f>
        <v/>
      </c>
      <c r="H6" t="str">
        <f>IFERROR(IF(OR(INDEX(tblTrans[ProductID],5)="",ISNUMBER(SEARCH("ProductID",INDEX(tblTrans[ProductID],5)))),"",_xlfn.XLOOKUP(B6,tblProducts[ProductID],tblProducts[Supplier],"")),"")</f>
        <v/>
      </c>
      <c r="I6" t="str">
        <f>IFERROR(IF(OR(INDEX(tblTrans[ProductID],5)="",ISNUMBER(SEARCH("ProductID",INDEX(tblTrans[ProductID],5)))),"",D6*_xlfn.XLOOKUP(B6,tblProducts[ProductID],tblProducts[UnitCost],0)),"")</f>
        <v/>
      </c>
    </row>
    <row r="7" spans="1:21" x14ac:dyDescent="0.3">
      <c r="A7" s="5" t="str">
        <f>IFERROR(IF(OR(INDEX(tblTrans[ProductID],6)="",ISNUMBER(SEARCH("ProductID",INDEX(tblTrans[ProductID],6)))),"",INDEX(tblTrans[Date],6)),"")</f>
        <v/>
      </c>
      <c r="B7" t="str">
        <f>IFERROR(IF(OR(INDEX(tblTrans[ProductID],6)="",ISNUMBER(SEARCH("ProductID",INDEX(tblTrans[ProductID],6)))),"",INDEX(tblTrans[ProductID],6)),"")</f>
        <v/>
      </c>
      <c r="C7" t="str">
        <f>IFERROR(IF(OR(INDEX(tblTrans[ProductID],6)="",ISNUMBER(SEARCH("ProductID",INDEX(tblTrans[ProductID],6)))),"",INDEX(tblTrans[Location],6)),"")</f>
        <v/>
      </c>
      <c r="D7" t="str">
        <f>IFERROR(IF(OR(INDEX(tblTrans[ProductID],6)="",ISNUMBER(SEARCH("ProductID",INDEX(tblTrans[ProductID],6)))),"",INDEX(tblTrans[Quantity],6)),"")</f>
        <v/>
      </c>
      <c r="E7" t="str">
        <f>IFERROR(IF(OR(INDEX(tblTrans[ProductID],6)="",ISNUMBER(SEARCH("ProductID",INDEX(tblTrans[ProductID],6)))),"",INDEX(tblTrans[Type],6)),"")</f>
        <v/>
      </c>
      <c r="F7" t="str">
        <f>IFERROR(IF(OR(INDEX(tblTrans[ProductID],6)="",ISNUMBER(SEARCH("ProductID",INDEX(tblTrans[ProductID],6)))),"",_xlfn.XLOOKUP(B7,tblProducts[ProductID],tblProducts[ProductName],"")),"")</f>
        <v/>
      </c>
      <c r="G7" t="str">
        <f>IFERROR(IF(OR(INDEX(tblTrans[ProductID],6)="",ISNUMBER(SEARCH("ProductID",INDEX(tblTrans[ProductID],6)))),"",_xlfn.XLOOKUP(B7,tblProducts[ProductID],tblProducts[Category],"")),"")</f>
        <v/>
      </c>
      <c r="H7" t="str">
        <f>IFERROR(IF(OR(INDEX(tblTrans[ProductID],6)="",ISNUMBER(SEARCH("ProductID",INDEX(tblTrans[ProductID],6)))),"",_xlfn.XLOOKUP(B7,tblProducts[ProductID],tblProducts[Supplier],"")),"")</f>
        <v/>
      </c>
      <c r="I7" t="str">
        <f>IFERROR(IF(OR(INDEX(tblTrans[ProductID],6)="",ISNUMBER(SEARCH("ProductID",INDEX(tblTrans[ProductID],6)))),"",D7*_xlfn.XLOOKUP(B7,tblProducts[ProductID],tblProducts[UnitCost],0)),"")</f>
        <v/>
      </c>
    </row>
    <row r="8" spans="1:21" x14ac:dyDescent="0.3">
      <c r="A8" s="5" t="str">
        <f>IFERROR(IF(OR(INDEX(tblTrans[ProductID],7)="",ISNUMBER(SEARCH("ProductID",INDEX(tblTrans[ProductID],7)))),"",INDEX(tblTrans[Date],7)),"")</f>
        <v/>
      </c>
      <c r="B8" t="str">
        <f>IFERROR(IF(OR(INDEX(tblTrans[ProductID],7)="",ISNUMBER(SEARCH("ProductID",INDEX(tblTrans[ProductID],7)))),"",INDEX(tblTrans[ProductID],7)),"")</f>
        <v/>
      </c>
      <c r="C8" t="str">
        <f>IFERROR(IF(OR(INDEX(tblTrans[ProductID],7)="",ISNUMBER(SEARCH("ProductID",INDEX(tblTrans[ProductID],7)))),"",INDEX(tblTrans[Location],7)),"")</f>
        <v/>
      </c>
      <c r="D8" t="str">
        <f>IFERROR(IF(OR(INDEX(tblTrans[ProductID],7)="",ISNUMBER(SEARCH("ProductID",INDEX(tblTrans[ProductID],7)))),"",INDEX(tblTrans[Quantity],7)),"")</f>
        <v/>
      </c>
      <c r="E8" t="str">
        <f>IFERROR(IF(OR(INDEX(tblTrans[ProductID],7)="",ISNUMBER(SEARCH("ProductID",INDEX(tblTrans[ProductID],7)))),"",INDEX(tblTrans[Type],7)),"")</f>
        <v/>
      </c>
      <c r="F8" t="str">
        <f>IFERROR(IF(OR(INDEX(tblTrans[ProductID],7)="",ISNUMBER(SEARCH("ProductID",INDEX(tblTrans[ProductID],7)))),"",_xlfn.XLOOKUP(B8,tblProducts[ProductID],tblProducts[ProductName],"")),"")</f>
        <v/>
      </c>
      <c r="G8" t="str">
        <f>IFERROR(IF(OR(INDEX(tblTrans[ProductID],7)="",ISNUMBER(SEARCH("ProductID",INDEX(tblTrans[ProductID],7)))),"",_xlfn.XLOOKUP(B8,tblProducts[ProductID],tblProducts[Category],"")),"")</f>
        <v/>
      </c>
      <c r="H8" t="str">
        <f>IFERROR(IF(OR(INDEX(tblTrans[ProductID],7)="",ISNUMBER(SEARCH("ProductID",INDEX(tblTrans[ProductID],7)))),"",_xlfn.XLOOKUP(B8,tblProducts[ProductID],tblProducts[Supplier],"")),"")</f>
        <v/>
      </c>
      <c r="I8" t="str">
        <f>IFERROR(IF(OR(INDEX(tblTrans[ProductID],7)="",ISNUMBER(SEARCH("ProductID",INDEX(tblTrans[ProductID],7)))),"",D8*_xlfn.XLOOKUP(B8,tblProducts[ProductID],tblProducts[UnitCost],0)),"")</f>
        <v/>
      </c>
    </row>
    <row r="9" spans="1:21" x14ac:dyDescent="0.3">
      <c r="A9" s="5" t="str">
        <f>IFERROR(IF(OR(INDEX(tblTrans[ProductID],8)="",ISNUMBER(SEARCH("ProductID",INDEX(tblTrans[ProductID],8)))),"",INDEX(tblTrans[Date],8)),"")</f>
        <v/>
      </c>
      <c r="B9" t="str">
        <f>IFERROR(IF(OR(INDEX(tblTrans[ProductID],8)="",ISNUMBER(SEARCH("ProductID",INDEX(tblTrans[ProductID],8)))),"",INDEX(tblTrans[ProductID],8)),"")</f>
        <v/>
      </c>
      <c r="C9" t="str">
        <f>IFERROR(IF(OR(INDEX(tblTrans[ProductID],8)="",ISNUMBER(SEARCH("ProductID",INDEX(tblTrans[ProductID],8)))),"",INDEX(tblTrans[Location],8)),"")</f>
        <v/>
      </c>
      <c r="D9" t="str">
        <f>IFERROR(IF(OR(INDEX(tblTrans[ProductID],8)="",ISNUMBER(SEARCH("ProductID",INDEX(tblTrans[ProductID],8)))),"",INDEX(tblTrans[Quantity],8)),"")</f>
        <v/>
      </c>
      <c r="E9" t="str">
        <f>IFERROR(IF(OR(INDEX(tblTrans[ProductID],8)="",ISNUMBER(SEARCH("ProductID",INDEX(tblTrans[ProductID],8)))),"",INDEX(tblTrans[Type],8)),"")</f>
        <v/>
      </c>
      <c r="F9" t="str">
        <f>IFERROR(IF(OR(INDEX(tblTrans[ProductID],8)="",ISNUMBER(SEARCH("ProductID",INDEX(tblTrans[ProductID],8)))),"",_xlfn.XLOOKUP(B9,tblProducts[ProductID],tblProducts[ProductName],"")),"")</f>
        <v/>
      </c>
      <c r="G9" t="str">
        <f>IFERROR(IF(OR(INDEX(tblTrans[ProductID],8)="",ISNUMBER(SEARCH("ProductID",INDEX(tblTrans[ProductID],8)))),"",_xlfn.XLOOKUP(B9,tblProducts[ProductID],tblProducts[Category],"")),"")</f>
        <v/>
      </c>
      <c r="H9" t="str">
        <f>IFERROR(IF(OR(INDEX(tblTrans[ProductID],8)="",ISNUMBER(SEARCH("ProductID",INDEX(tblTrans[ProductID],8)))),"",_xlfn.XLOOKUP(B9,tblProducts[ProductID],tblProducts[Supplier],"")),"")</f>
        <v/>
      </c>
      <c r="I9" t="str">
        <f>IFERROR(IF(OR(INDEX(tblTrans[ProductID],8)="",ISNUMBER(SEARCH("ProductID",INDEX(tblTrans[ProductID],8)))),"",D9*_xlfn.XLOOKUP(B9,tblProducts[ProductID],tblProducts[UnitCost],0)),"")</f>
        <v/>
      </c>
    </row>
    <row r="10" spans="1:21" x14ac:dyDescent="0.3">
      <c r="A10" s="5" t="str">
        <f>IFERROR(IF(OR(INDEX(tblTrans[ProductID],9)="",ISNUMBER(SEARCH("ProductID",INDEX(tblTrans[ProductID],9)))),"",INDEX(tblTrans[Date],9)),"")</f>
        <v/>
      </c>
      <c r="B10" t="str">
        <f>IFERROR(IF(OR(INDEX(tblTrans[ProductID],9)="",ISNUMBER(SEARCH("ProductID",INDEX(tblTrans[ProductID],9)))),"",INDEX(tblTrans[ProductID],9)),"")</f>
        <v/>
      </c>
      <c r="C10" t="str">
        <f>IFERROR(IF(OR(INDEX(tblTrans[ProductID],9)="",ISNUMBER(SEARCH("ProductID",INDEX(tblTrans[ProductID],9)))),"",INDEX(tblTrans[Location],9)),"")</f>
        <v/>
      </c>
      <c r="D10" t="str">
        <f>IFERROR(IF(OR(INDEX(tblTrans[ProductID],9)="",ISNUMBER(SEARCH("ProductID",INDEX(tblTrans[ProductID],9)))),"",INDEX(tblTrans[Quantity],9)),"")</f>
        <v/>
      </c>
      <c r="E10" t="str">
        <f>IFERROR(IF(OR(INDEX(tblTrans[ProductID],9)="",ISNUMBER(SEARCH("ProductID",INDEX(tblTrans[ProductID],9)))),"",INDEX(tblTrans[Type],9)),"")</f>
        <v/>
      </c>
      <c r="F10" t="str">
        <f>IFERROR(IF(OR(INDEX(tblTrans[ProductID],9)="",ISNUMBER(SEARCH("ProductID",INDEX(tblTrans[ProductID],9)))),"",_xlfn.XLOOKUP(B10,tblProducts[ProductID],tblProducts[ProductName],"")),"")</f>
        <v/>
      </c>
      <c r="G10" t="str">
        <f>IFERROR(IF(OR(INDEX(tblTrans[ProductID],9)="",ISNUMBER(SEARCH("ProductID",INDEX(tblTrans[ProductID],9)))),"",_xlfn.XLOOKUP(B10,tblProducts[ProductID],tblProducts[Category],"")),"")</f>
        <v/>
      </c>
      <c r="H10" t="str">
        <f>IFERROR(IF(OR(INDEX(tblTrans[ProductID],9)="",ISNUMBER(SEARCH("ProductID",INDEX(tblTrans[ProductID],9)))),"",_xlfn.XLOOKUP(B10,tblProducts[ProductID],tblProducts[Supplier],"")),"")</f>
        <v/>
      </c>
      <c r="I10" t="str">
        <f>IFERROR(IF(OR(INDEX(tblTrans[ProductID],9)="",ISNUMBER(SEARCH("ProductID",INDEX(tblTrans[ProductID],9)))),"",D10*_xlfn.XLOOKUP(B10,tblProducts[ProductID],tblProducts[UnitCost],0)),"")</f>
        <v/>
      </c>
    </row>
    <row r="11" spans="1:21" x14ac:dyDescent="0.3">
      <c r="A11" s="5" t="str">
        <f>IFERROR(IF(OR(INDEX(tblTrans[ProductID],10)="",ISNUMBER(SEARCH("ProductID",INDEX(tblTrans[ProductID],10)))),"",INDEX(tblTrans[Date],10)),"")</f>
        <v/>
      </c>
      <c r="B11" t="str">
        <f>IFERROR(IF(OR(INDEX(tblTrans[ProductID],10)="",ISNUMBER(SEARCH("ProductID",INDEX(tblTrans[ProductID],10)))),"",INDEX(tblTrans[ProductID],10)),"")</f>
        <v/>
      </c>
      <c r="C11" t="str">
        <f>IFERROR(IF(OR(INDEX(tblTrans[ProductID],10)="",ISNUMBER(SEARCH("ProductID",INDEX(tblTrans[ProductID],10)))),"",INDEX(tblTrans[Location],10)),"")</f>
        <v/>
      </c>
      <c r="D11" t="str">
        <f>IFERROR(IF(OR(INDEX(tblTrans[ProductID],10)="",ISNUMBER(SEARCH("ProductID",INDEX(tblTrans[ProductID],10)))),"",INDEX(tblTrans[Quantity],10)),"")</f>
        <v/>
      </c>
      <c r="E11" t="str">
        <f>IFERROR(IF(OR(INDEX(tblTrans[ProductID],10)="",ISNUMBER(SEARCH("ProductID",INDEX(tblTrans[ProductID],10)))),"",INDEX(tblTrans[Type],10)),"")</f>
        <v/>
      </c>
      <c r="F11" t="str">
        <f>IFERROR(IF(OR(INDEX(tblTrans[ProductID],10)="",ISNUMBER(SEARCH("ProductID",INDEX(tblTrans[ProductID],10)))),"",_xlfn.XLOOKUP(B11,tblProducts[ProductID],tblProducts[ProductName],"")),"")</f>
        <v/>
      </c>
      <c r="G11" t="str">
        <f>IFERROR(IF(OR(INDEX(tblTrans[ProductID],10)="",ISNUMBER(SEARCH("ProductID",INDEX(tblTrans[ProductID],10)))),"",_xlfn.XLOOKUP(B11,tblProducts[ProductID],tblProducts[Category],"")),"")</f>
        <v/>
      </c>
      <c r="H11" t="str">
        <f>IFERROR(IF(OR(INDEX(tblTrans[ProductID],10)="",ISNUMBER(SEARCH("ProductID",INDEX(tblTrans[ProductID],10)))),"",_xlfn.XLOOKUP(B11,tblProducts[ProductID],tblProducts[Supplier],"")),"")</f>
        <v/>
      </c>
      <c r="I11" t="str">
        <f>IFERROR(IF(OR(INDEX(tblTrans[ProductID],10)="",ISNUMBER(SEARCH("ProductID",INDEX(tblTrans[ProductID],10)))),"",D11*_xlfn.XLOOKUP(B11,tblProducts[ProductID],tblProducts[UnitCost],0)),"")</f>
        <v/>
      </c>
    </row>
    <row r="12" spans="1:21" x14ac:dyDescent="0.3">
      <c r="A12" s="5" t="str">
        <f>IFERROR(IF(OR(INDEX(tblTrans[ProductID],11)="",ISNUMBER(SEARCH("ProductID",INDEX(tblTrans[ProductID],11)))),"",INDEX(tblTrans[Date],11)),"")</f>
        <v/>
      </c>
      <c r="B12" t="str">
        <f>IFERROR(IF(OR(INDEX(tblTrans[ProductID],11)="",ISNUMBER(SEARCH("ProductID",INDEX(tblTrans[ProductID],11)))),"",INDEX(tblTrans[ProductID],11)),"")</f>
        <v/>
      </c>
      <c r="C12" t="str">
        <f>IFERROR(IF(OR(INDEX(tblTrans[ProductID],11)="",ISNUMBER(SEARCH("ProductID",INDEX(tblTrans[ProductID],11)))),"",INDEX(tblTrans[Location],11)),"")</f>
        <v/>
      </c>
      <c r="D12" t="str">
        <f>IFERROR(IF(OR(INDEX(tblTrans[ProductID],11)="",ISNUMBER(SEARCH("ProductID",INDEX(tblTrans[ProductID],11)))),"",INDEX(tblTrans[Quantity],11)),"")</f>
        <v/>
      </c>
      <c r="E12" t="str">
        <f>IFERROR(IF(OR(INDEX(tblTrans[ProductID],11)="",ISNUMBER(SEARCH("ProductID",INDEX(tblTrans[ProductID],11)))),"",INDEX(tblTrans[Type],11)),"")</f>
        <v/>
      </c>
      <c r="F12" t="str">
        <f>IFERROR(IF(OR(INDEX(tblTrans[ProductID],11)="",ISNUMBER(SEARCH("ProductID",INDEX(tblTrans[ProductID],11)))),"",_xlfn.XLOOKUP(B12,tblProducts[ProductID],tblProducts[ProductName],"")),"")</f>
        <v/>
      </c>
      <c r="G12" t="str">
        <f>IFERROR(IF(OR(INDEX(tblTrans[ProductID],11)="",ISNUMBER(SEARCH("ProductID",INDEX(tblTrans[ProductID],11)))),"",_xlfn.XLOOKUP(B12,tblProducts[ProductID],tblProducts[Category],"")),"")</f>
        <v/>
      </c>
      <c r="H12" t="str">
        <f>IFERROR(IF(OR(INDEX(tblTrans[ProductID],11)="",ISNUMBER(SEARCH("ProductID",INDEX(tblTrans[ProductID],11)))),"",_xlfn.XLOOKUP(B12,tblProducts[ProductID],tblProducts[Supplier],"")),"")</f>
        <v/>
      </c>
      <c r="I12" t="str">
        <f>IFERROR(IF(OR(INDEX(tblTrans[ProductID],11)="",ISNUMBER(SEARCH("ProductID",INDEX(tblTrans[ProductID],11)))),"",D12*_xlfn.XLOOKUP(B12,tblProducts[ProductID],tblProducts[UnitCost],0)),"")</f>
        <v/>
      </c>
    </row>
    <row r="13" spans="1:21" x14ac:dyDescent="0.3">
      <c r="A13" s="5" t="str">
        <f>IFERROR(IF(OR(INDEX(tblTrans[ProductID],12)="",ISNUMBER(SEARCH("ProductID",INDEX(tblTrans[ProductID],12)))),"",INDEX(tblTrans[Date],12)),"")</f>
        <v/>
      </c>
      <c r="B13" t="str">
        <f>IFERROR(IF(OR(INDEX(tblTrans[ProductID],12)="",ISNUMBER(SEARCH("ProductID",INDEX(tblTrans[ProductID],12)))),"",INDEX(tblTrans[ProductID],12)),"")</f>
        <v/>
      </c>
      <c r="C13" t="str">
        <f>IFERROR(IF(OR(INDEX(tblTrans[ProductID],12)="",ISNUMBER(SEARCH("ProductID",INDEX(tblTrans[ProductID],12)))),"",INDEX(tblTrans[Location],12)),"")</f>
        <v/>
      </c>
      <c r="D13" t="str">
        <f>IFERROR(IF(OR(INDEX(tblTrans[ProductID],12)="",ISNUMBER(SEARCH("ProductID",INDEX(tblTrans[ProductID],12)))),"",INDEX(tblTrans[Quantity],12)),"")</f>
        <v/>
      </c>
      <c r="E13" t="str">
        <f>IFERROR(IF(OR(INDEX(tblTrans[ProductID],12)="",ISNUMBER(SEARCH("ProductID",INDEX(tblTrans[ProductID],12)))),"",INDEX(tblTrans[Type],12)),"")</f>
        <v/>
      </c>
      <c r="F13" t="str">
        <f>IFERROR(IF(OR(INDEX(tblTrans[ProductID],12)="",ISNUMBER(SEARCH("ProductID",INDEX(tblTrans[ProductID],12)))),"",_xlfn.XLOOKUP(B13,tblProducts[ProductID],tblProducts[ProductName],"")),"")</f>
        <v/>
      </c>
      <c r="G13" t="str">
        <f>IFERROR(IF(OR(INDEX(tblTrans[ProductID],12)="",ISNUMBER(SEARCH("ProductID",INDEX(tblTrans[ProductID],12)))),"",_xlfn.XLOOKUP(B13,tblProducts[ProductID],tblProducts[Category],"")),"")</f>
        <v/>
      </c>
      <c r="H13" t="str">
        <f>IFERROR(IF(OR(INDEX(tblTrans[ProductID],12)="",ISNUMBER(SEARCH("ProductID",INDEX(tblTrans[ProductID],12)))),"",_xlfn.XLOOKUP(B13,tblProducts[ProductID],tblProducts[Supplier],"")),"")</f>
        <v/>
      </c>
      <c r="I13" t="str">
        <f>IFERROR(IF(OR(INDEX(tblTrans[ProductID],12)="",ISNUMBER(SEARCH("ProductID",INDEX(tblTrans[ProductID],12)))),"",D13*_xlfn.XLOOKUP(B13,tblProducts[ProductID],tblProducts[UnitCost],0)),"")</f>
        <v/>
      </c>
    </row>
    <row r="14" spans="1:21" x14ac:dyDescent="0.3">
      <c r="A14" s="5" t="str">
        <f>IFERROR(IF(OR(INDEX(tblTrans[ProductID],13)="",ISNUMBER(SEARCH("ProductID",INDEX(tblTrans[ProductID],13)))),"",INDEX(tblTrans[Date],13)),"")</f>
        <v/>
      </c>
      <c r="B14" t="str">
        <f>IFERROR(IF(OR(INDEX(tblTrans[ProductID],13)="",ISNUMBER(SEARCH("ProductID",INDEX(tblTrans[ProductID],13)))),"",INDEX(tblTrans[ProductID],13)),"")</f>
        <v/>
      </c>
      <c r="C14" t="str">
        <f>IFERROR(IF(OR(INDEX(tblTrans[ProductID],13)="",ISNUMBER(SEARCH("ProductID",INDEX(tblTrans[ProductID],13)))),"",INDEX(tblTrans[Location],13)),"")</f>
        <v/>
      </c>
      <c r="D14" t="str">
        <f>IFERROR(IF(OR(INDEX(tblTrans[ProductID],13)="",ISNUMBER(SEARCH("ProductID",INDEX(tblTrans[ProductID],13)))),"",INDEX(tblTrans[Quantity],13)),"")</f>
        <v/>
      </c>
      <c r="E14" t="str">
        <f>IFERROR(IF(OR(INDEX(tblTrans[ProductID],13)="",ISNUMBER(SEARCH("ProductID",INDEX(tblTrans[ProductID],13)))),"",INDEX(tblTrans[Type],13)),"")</f>
        <v/>
      </c>
      <c r="F14" t="str">
        <f>IFERROR(IF(OR(INDEX(tblTrans[ProductID],13)="",ISNUMBER(SEARCH("ProductID",INDEX(tblTrans[ProductID],13)))),"",_xlfn.XLOOKUP(B14,tblProducts[ProductID],tblProducts[ProductName],"")),"")</f>
        <v/>
      </c>
      <c r="G14" t="str">
        <f>IFERROR(IF(OR(INDEX(tblTrans[ProductID],13)="",ISNUMBER(SEARCH("ProductID",INDEX(tblTrans[ProductID],13)))),"",_xlfn.XLOOKUP(B14,tblProducts[ProductID],tblProducts[Category],"")),"")</f>
        <v/>
      </c>
      <c r="H14" t="str">
        <f>IFERROR(IF(OR(INDEX(tblTrans[ProductID],13)="",ISNUMBER(SEARCH("ProductID",INDEX(tblTrans[ProductID],13)))),"",_xlfn.XLOOKUP(B14,tblProducts[ProductID],tblProducts[Supplier],"")),"")</f>
        <v/>
      </c>
      <c r="I14" t="str">
        <f>IFERROR(IF(OR(INDEX(tblTrans[ProductID],13)="",ISNUMBER(SEARCH("ProductID",INDEX(tblTrans[ProductID],13)))),"",D14*_xlfn.XLOOKUP(B14,tblProducts[ProductID],tblProducts[UnitCost],0)),"")</f>
        <v/>
      </c>
    </row>
    <row r="15" spans="1:21" x14ac:dyDescent="0.3">
      <c r="A15" s="5" t="str">
        <f>IFERROR(IF(OR(INDEX(tblTrans[ProductID],14)="",ISNUMBER(SEARCH("ProductID",INDEX(tblTrans[ProductID],14)))),"",INDEX(tblTrans[Date],14)),"")</f>
        <v/>
      </c>
      <c r="B15" t="str">
        <f>IFERROR(IF(OR(INDEX(tblTrans[ProductID],14)="",ISNUMBER(SEARCH("ProductID",INDEX(tblTrans[ProductID],14)))),"",INDEX(tblTrans[ProductID],14)),"")</f>
        <v/>
      </c>
      <c r="C15" t="str">
        <f>IFERROR(IF(OR(INDEX(tblTrans[ProductID],14)="",ISNUMBER(SEARCH("ProductID",INDEX(tblTrans[ProductID],14)))),"",INDEX(tblTrans[Location],14)),"")</f>
        <v/>
      </c>
      <c r="D15" t="str">
        <f>IFERROR(IF(OR(INDEX(tblTrans[ProductID],14)="",ISNUMBER(SEARCH("ProductID",INDEX(tblTrans[ProductID],14)))),"",INDEX(tblTrans[Quantity],14)),"")</f>
        <v/>
      </c>
      <c r="E15" t="str">
        <f>IFERROR(IF(OR(INDEX(tblTrans[ProductID],14)="",ISNUMBER(SEARCH("ProductID",INDEX(tblTrans[ProductID],14)))),"",INDEX(tblTrans[Type],14)),"")</f>
        <v/>
      </c>
      <c r="F15" t="str">
        <f>IFERROR(IF(OR(INDEX(tblTrans[ProductID],14)="",ISNUMBER(SEARCH("ProductID",INDEX(tblTrans[ProductID],14)))),"",_xlfn.XLOOKUP(B15,tblProducts[ProductID],tblProducts[ProductName],"")),"")</f>
        <v/>
      </c>
      <c r="G15" t="str">
        <f>IFERROR(IF(OR(INDEX(tblTrans[ProductID],14)="",ISNUMBER(SEARCH("ProductID",INDEX(tblTrans[ProductID],14)))),"",_xlfn.XLOOKUP(B15,tblProducts[ProductID],tblProducts[Category],"")),"")</f>
        <v/>
      </c>
      <c r="H15" t="str">
        <f>IFERROR(IF(OR(INDEX(tblTrans[ProductID],14)="",ISNUMBER(SEARCH("ProductID",INDEX(tblTrans[ProductID],14)))),"",_xlfn.XLOOKUP(B15,tblProducts[ProductID],tblProducts[Supplier],"")),"")</f>
        <v/>
      </c>
      <c r="I15" t="str">
        <f>IFERROR(IF(OR(INDEX(tblTrans[ProductID],14)="",ISNUMBER(SEARCH("ProductID",INDEX(tblTrans[ProductID],14)))),"",D15*_xlfn.XLOOKUP(B15,tblProducts[ProductID],tblProducts[UnitCost],0)),"")</f>
        <v/>
      </c>
    </row>
    <row r="16" spans="1:21" x14ac:dyDescent="0.3">
      <c r="A16" s="5" t="str">
        <f>IFERROR(IF(OR(INDEX(tblTrans[ProductID],15)="",ISNUMBER(SEARCH("ProductID",INDEX(tblTrans[ProductID],15)))),"",INDEX(tblTrans[Date],15)),"")</f>
        <v/>
      </c>
      <c r="B16" t="str">
        <f>IFERROR(IF(OR(INDEX(tblTrans[ProductID],15)="",ISNUMBER(SEARCH("ProductID",INDEX(tblTrans[ProductID],15)))),"",INDEX(tblTrans[ProductID],15)),"")</f>
        <v/>
      </c>
      <c r="C16" t="str">
        <f>IFERROR(IF(OR(INDEX(tblTrans[ProductID],15)="",ISNUMBER(SEARCH("ProductID",INDEX(tblTrans[ProductID],15)))),"",INDEX(tblTrans[Location],15)),"")</f>
        <v/>
      </c>
      <c r="D16" t="str">
        <f>IFERROR(IF(OR(INDEX(tblTrans[ProductID],15)="",ISNUMBER(SEARCH("ProductID",INDEX(tblTrans[ProductID],15)))),"",INDEX(tblTrans[Quantity],15)),"")</f>
        <v/>
      </c>
      <c r="E16" t="str">
        <f>IFERROR(IF(OR(INDEX(tblTrans[ProductID],15)="",ISNUMBER(SEARCH("ProductID",INDEX(tblTrans[ProductID],15)))),"",INDEX(tblTrans[Type],15)),"")</f>
        <v/>
      </c>
      <c r="F16" t="str">
        <f>IFERROR(IF(OR(INDEX(tblTrans[ProductID],15)="",ISNUMBER(SEARCH("ProductID",INDEX(tblTrans[ProductID],15)))),"",_xlfn.XLOOKUP(B16,tblProducts[ProductID],tblProducts[ProductName],"")),"")</f>
        <v/>
      </c>
      <c r="G16" t="str">
        <f>IFERROR(IF(OR(INDEX(tblTrans[ProductID],15)="",ISNUMBER(SEARCH("ProductID",INDEX(tblTrans[ProductID],15)))),"",_xlfn.XLOOKUP(B16,tblProducts[ProductID],tblProducts[Category],"")),"")</f>
        <v/>
      </c>
      <c r="H16" t="str">
        <f>IFERROR(IF(OR(INDEX(tblTrans[ProductID],15)="",ISNUMBER(SEARCH("ProductID",INDEX(tblTrans[ProductID],15)))),"",_xlfn.XLOOKUP(B16,tblProducts[ProductID],tblProducts[Supplier],"")),"")</f>
        <v/>
      </c>
      <c r="I16" t="str">
        <f>IFERROR(IF(OR(INDEX(tblTrans[ProductID],15)="",ISNUMBER(SEARCH("ProductID",INDEX(tblTrans[ProductID],15)))),"",D16*_xlfn.XLOOKUP(B16,tblProducts[ProductID],tblProducts[UnitCost],0)),"")</f>
        <v/>
      </c>
    </row>
    <row r="17" spans="1:9" x14ac:dyDescent="0.3">
      <c r="A17" s="5" t="str">
        <f>IFERROR(IF(OR(INDEX(tblTrans[ProductID],16)="",ISNUMBER(SEARCH("ProductID",INDEX(tblTrans[ProductID],16)))),"",INDEX(tblTrans[Date],16)),"")</f>
        <v/>
      </c>
      <c r="B17" t="str">
        <f>IFERROR(IF(OR(INDEX(tblTrans[ProductID],16)="",ISNUMBER(SEARCH("ProductID",INDEX(tblTrans[ProductID],16)))),"",INDEX(tblTrans[ProductID],16)),"")</f>
        <v/>
      </c>
      <c r="C17" t="str">
        <f>IFERROR(IF(OR(INDEX(tblTrans[ProductID],16)="",ISNUMBER(SEARCH("ProductID",INDEX(tblTrans[ProductID],16)))),"",INDEX(tblTrans[Location],16)),"")</f>
        <v/>
      </c>
      <c r="D17" t="str">
        <f>IFERROR(IF(OR(INDEX(tblTrans[ProductID],16)="",ISNUMBER(SEARCH("ProductID",INDEX(tblTrans[ProductID],16)))),"",INDEX(tblTrans[Quantity],16)),"")</f>
        <v/>
      </c>
      <c r="E17" t="str">
        <f>IFERROR(IF(OR(INDEX(tblTrans[ProductID],16)="",ISNUMBER(SEARCH("ProductID",INDEX(tblTrans[ProductID],16)))),"",INDEX(tblTrans[Type],16)),"")</f>
        <v/>
      </c>
      <c r="F17" t="str">
        <f>IFERROR(IF(OR(INDEX(tblTrans[ProductID],16)="",ISNUMBER(SEARCH("ProductID",INDEX(tblTrans[ProductID],16)))),"",_xlfn.XLOOKUP(B17,tblProducts[ProductID],tblProducts[ProductName],"")),"")</f>
        <v/>
      </c>
      <c r="G17" t="str">
        <f>IFERROR(IF(OR(INDEX(tblTrans[ProductID],16)="",ISNUMBER(SEARCH("ProductID",INDEX(tblTrans[ProductID],16)))),"",_xlfn.XLOOKUP(B17,tblProducts[ProductID],tblProducts[Category],"")),"")</f>
        <v/>
      </c>
      <c r="H17" t="str">
        <f>IFERROR(IF(OR(INDEX(tblTrans[ProductID],16)="",ISNUMBER(SEARCH("ProductID",INDEX(tblTrans[ProductID],16)))),"",_xlfn.XLOOKUP(B17,tblProducts[ProductID],tblProducts[Supplier],"")),"")</f>
        <v/>
      </c>
      <c r="I17" t="str">
        <f>IFERROR(IF(OR(INDEX(tblTrans[ProductID],16)="",ISNUMBER(SEARCH("ProductID",INDEX(tblTrans[ProductID],16)))),"",D17*_xlfn.XLOOKUP(B17,tblProducts[ProductID],tblProducts[UnitCost],0)),"")</f>
        <v/>
      </c>
    </row>
    <row r="18" spans="1:9" x14ac:dyDescent="0.3">
      <c r="A18" s="5" t="str">
        <f>IFERROR(IF(OR(INDEX(tblTrans[ProductID],17)="",ISNUMBER(SEARCH("ProductID",INDEX(tblTrans[ProductID],17)))),"",INDEX(tblTrans[Date],17)),"")</f>
        <v/>
      </c>
      <c r="B18" t="str">
        <f>IFERROR(IF(OR(INDEX(tblTrans[ProductID],17)="",ISNUMBER(SEARCH("ProductID",INDEX(tblTrans[ProductID],17)))),"",INDEX(tblTrans[ProductID],17)),"")</f>
        <v/>
      </c>
      <c r="C18" t="str">
        <f>IFERROR(IF(OR(INDEX(tblTrans[ProductID],17)="",ISNUMBER(SEARCH("ProductID",INDEX(tblTrans[ProductID],17)))),"",INDEX(tblTrans[Location],17)),"")</f>
        <v/>
      </c>
      <c r="D18" t="str">
        <f>IFERROR(IF(OR(INDEX(tblTrans[ProductID],17)="",ISNUMBER(SEARCH("ProductID",INDEX(tblTrans[ProductID],17)))),"",INDEX(tblTrans[Quantity],17)),"")</f>
        <v/>
      </c>
      <c r="E18" t="str">
        <f>IFERROR(IF(OR(INDEX(tblTrans[ProductID],17)="",ISNUMBER(SEARCH("ProductID",INDEX(tblTrans[ProductID],17)))),"",INDEX(tblTrans[Type],17)),"")</f>
        <v/>
      </c>
      <c r="F18" t="str">
        <f>IFERROR(IF(OR(INDEX(tblTrans[ProductID],17)="",ISNUMBER(SEARCH("ProductID",INDEX(tblTrans[ProductID],17)))),"",_xlfn.XLOOKUP(B18,tblProducts[ProductID],tblProducts[ProductName],"")),"")</f>
        <v/>
      </c>
      <c r="G18" t="str">
        <f>IFERROR(IF(OR(INDEX(tblTrans[ProductID],17)="",ISNUMBER(SEARCH("ProductID",INDEX(tblTrans[ProductID],17)))),"",_xlfn.XLOOKUP(B18,tblProducts[ProductID],tblProducts[Category],"")),"")</f>
        <v/>
      </c>
      <c r="H18" t="str">
        <f>IFERROR(IF(OR(INDEX(tblTrans[ProductID],17)="",ISNUMBER(SEARCH("ProductID",INDEX(tblTrans[ProductID],17)))),"",_xlfn.XLOOKUP(B18,tblProducts[ProductID],tblProducts[Supplier],"")),"")</f>
        <v/>
      </c>
      <c r="I18" t="str">
        <f>IFERROR(IF(OR(INDEX(tblTrans[ProductID],17)="",ISNUMBER(SEARCH("ProductID",INDEX(tblTrans[ProductID],17)))),"",D18*_xlfn.XLOOKUP(B18,tblProducts[ProductID],tblProducts[UnitCost],0)),"")</f>
        <v/>
      </c>
    </row>
    <row r="19" spans="1:9" x14ac:dyDescent="0.3">
      <c r="A19" s="5" t="str">
        <f>IFERROR(IF(OR(INDEX(tblTrans[ProductID],18)="",ISNUMBER(SEARCH("ProductID",INDEX(tblTrans[ProductID],18)))),"",INDEX(tblTrans[Date],18)),"")</f>
        <v/>
      </c>
      <c r="B19" t="str">
        <f>IFERROR(IF(OR(INDEX(tblTrans[ProductID],18)="",ISNUMBER(SEARCH("ProductID",INDEX(tblTrans[ProductID],18)))),"",INDEX(tblTrans[ProductID],18)),"")</f>
        <v/>
      </c>
      <c r="C19" t="str">
        <f>IFERROR(IF(OR(INDEX(tblTrans[ProductID],18)="",ISNUMBER(SEARCH("ProductID",INDEX(tblTrans[ProductID],18)))),"",INDEX(tblTrans[Location],18)),"")</f>
        <v/>
      </c>
      <c r="D19" t="str">
        <f>IFERROR(IF(OR(INDEX(tblTrans[ProductID],18)="",ISNUMBER(SEARCH("ProductID",INDEX(tblTrans[ProductID],18)))),"",INDEX(tblTrans[Quantity],18)),"")</f>
        <v/>
      </c>
      <c r="E19" t="str">
        <f>IFERROR(IF(OR(INDEX(tblTrans[ProductID],18)="",ISNUMBER(SEARCH("ProductID",INDEX(tblTrans[ProductID],18)))),"",INDEX(tblTrans[Type],18)),"")</f>
        <v/>
      </c>
      <c r="F19" t="str">
        <f>IFERROR(IF(OR(INDEX(tblTrans[ProductID],18)="",ISNUMBER(SEARCH("ProductID",INDEX(tblTrans[ProductID],18)))),"",_xlfn.XLOOKUP(B19,tblProducts[ProductID],tblProducts[ProductName],"")),"")</f>
        <v/>
      </c>
      <c r="G19" t="str">
        <f>IFERROR(IF(OR(INDEX(tblTrans[ProductID],18)="",ISNUMBER(SEARCH("ProductID",INDEX(tblTrans[ProductID],18)))),"",_xlfn.XLOOKUP(B19,tblProducts[ProductID],tblProducts[Category],"")),"")</f>
        <v/>
      </c>
      <c r="H19" t="str">
        <f>IFERROR(IF(OR(INDEX(tblTrans[ProductID],18)="",ISNUMBER(SEARCH("ProductID",INDEX(tblTrans[ProductID],18)))),"",_xlfn.XLOOKUP(B19,tblProducts[ProductID],tblProducts[Supplier],"")),"")</f>
        <v/>
      </c>
      <c r="I19" t="str">
        <f>IFERROR(IF(OR(INDEX(tblTrans[ProductID],18)="",ISNUMBER(SEARCH("ProductID",INDEX(tblTrans[ProductID],18)))),"",D19*_xlfn.XLOOKUP(B19,tblProducts[ProductID],tblProducts[UnitCost],0)),"")</f>
        <v/>
      </c>
    </row>
    <row r="20" spans="1:9" x14ac:dyDescent="0.3">
      <c r="A20" s="5" t="str">
        <f>IFERROR(IF(OR(INDEX(tblTrans[ProductID],19)="",ISNUMBER(SEARCH("ProductID",INDEX(tblTrans[ProductID],19)))),"",INDEX(tblTrans[Date],19)),"")</f>
        <v/>
      </c>
      <c r="B20" t="str">
        <f>IFERROR(IF(OR(INDEX(tblTrans[ProductID],19)="",ISNUMBER(SEARCH("ProductID",INDEX(tblTrans[ProductID],19)))),"",INDEX(tblTrans[ProductID],19)),"")</f>
        <v/>
      </c>
      <c r="C20" t="str">
        <f>IFERROR(IF(OR(INDEX(tblTrans[ProductID],19)="",ISNUMBER(SEARCH("ProductID",INDEX(tblTrans[ProductID],19)))),"",INDEX(tblTrans[Location],19)),"")</f>
        <v/>
      </c>
      <c r="D20" t="str">
        <f>IFERROR(IF(OR(INDEX(tblTrans[ProductID],19)="",ISNUMBER(SEARCH("ProductID",INDEX(tblTrans[ProductID],19)))),"",INDEX(tblTrans[Quantity],19)),"")</f>
        <v/>
      </c>
      <c r="E20" t="str">
        <f>IFERROR(IF(OR(INDEX(tblTrans[ProductID],19)="",ISNUMBER(SEARCH("ProductID",INDEX(tblTrans[ProductID],19)))),"",INDEX(tblTrans[Type],19)),"")</f>
        <v/>
      </c>
      <c r="F20" t="str">
        <f>IFERROR(IF(OR(INDEX(tblTrans[ProductID],19)="",ISNUMBER(SEARCH("ProductID",INDEX(tblTrans[ProductID],19)))),"",_xlfn.XLOOKUP(B20,tblProducts[ProductID],tblProducts[ProductName],"")),"")</f>
        <v/>
      </c>
      <c r="G20" t="str">
        <f>IFERROR(IF(OR(INDEX(tblTrans[ProductID],19)="",ISNUMBER(SEARCH("ProductID",INDEX(tblTrans[ProductID],19)))),"",_xlfn.XLOOKUP(B20,tblProducts[ProductID],tblProducts[Category],"")),"")</f>
        <v/>
      </c>
      <c r="H20" t="str">
        <f>IFERROR(IF(OR(INDEX(tblTrans[ProductID],19)="",ISNUMBER(SEARCH("ProductID",INDEX(tblTrans[ProductID],19)))),"",_xlfn.XLOOKUP(B20,tblProducts[ProductID],tblProducts[Supplier],"")),"")</f>
        <v/>
      </c>
      <c r="I20" t="str">
        <f>IFERROR(IF(OR(INDEX(tblTrans[ProductID],19)="",ISNUMBER(SEARCH("ProductID",INDEX(tblTrans[ProductID],19)))),"",D20*_xlfn.XLOOKUP(B20,tblProducts[ProductID],tblProducts[UnitCost],0)),"")</f>
        <v/>
      </c>
    </row>
    <row r="21" spans="1:9" x14ac:dyDescent="0.3">
      <c r="A21" s="5" t="str">
        <f>IFERROR(IF(OR(INDEX(tblTrans[ProductID],20)="",ISNUMBER(SEARCH("ProductID",INDEX(tblTrans[ProductID],20)))),"",INDEX(tblTrans[Date],20)),"")</f>
        <v/>
      </c>
      <c r="B21" t="str">
        <f>IFERROR(IF(OR(INDEX(tblTrans[ProductID],20)="",ISNUMBER(SEARCH("ProductID",INDEX(tblTrans[ProductID],20)))),"",INDEX(tblTrans[ProductID],20)),"")</f>
        <v/>
      </c>
      <c r="C21" t="str">
        <f>IFERROR(IF(OR(INDEX(tblTrans[ProductID],20)="",ISNUMBER(SEARCH("ProductID",INDEX(tblTrans[ProductID],20)))),"",INDEX(tblTrans[Location],20)),"")</f>
        <v/>
      </c>
      <c r="D21" t="str">
        <f>IFERROR(IF(OR(INDEX(tblTrans[ProductID],20)="",ISNUMBER(SEARCH("ProductID",INDEX(tblTrans[ProductID],20)))),"",INDEX(tblTrans[Quantity],20)),"")</f>
        <v/>
      </c>
      <c r="E21" t="str">
        <f>IFERROR(IF(OR(INDEX(tblTrans[ProductID],20)="",ISNUMBER(SEARCH("ProductID",INDEX(tblTrans[ProductID],20)))),"",INDEX(tblTrans[Type],20)),"")</f>
        <v/>
      </c>
      <c r="F21" t="str">
        <f>IFERROR(IF(OR(INDEX(tblTrans[ProductID],20)="",ISNUMBER(SEARCH("ProductID",INDEX(tblTrans[ProductID],20)))),"",_xlfn.XLOOKUP(B21,tblProducts[ProductID],tblProducts[ProductName],"")),"")</f>
        <v/>
      </c>
      <c r="G21" t="str">
        <f>IFERROR(IF(OR(INDEX(tblTrans[ProductID],20)="",ISNUMBER(SEARCH("ProductID",INDEX(tblTrans[ProductID],20)))),"",_xlfn.XLOOKUP(B21,tblProducts[ProductID],tblProducts[Category],"")),"")</f>
        <v/>
      </c>
      <c r="H21" t="str">
        <f>IFERROR(IF(OR(INDEX(tblTrans[ProductID],20)="",ISNUMBER(SEARCH("ProductID",INDEX(tblTrans[ProductID],20)))),"",_xlfn.XLOOKUP(B21,tblProducts[ProductID],tblProducts[Supplier],"")),"")</f>
        <v/>
      </c>
      <c r="I21" t="str">
        <f>IFERROR(IF(OR(INDEX(tblTrans[ProductID],20)="",ISNUMBER(SEARCH("ProductID",INDEX(tblTrans[ProductID],20)))),"",D21*_xlfn.XLOOKUP(B21,tblProducts[ProductID],tblProducts[UnitCost],0)),"")</f>
        <v/>
      </c>
    </row>
    <row r="22" spans="1:9" x14ac:dyDescent="0.3">
      <c r="A22" s="5" t="str">
        <f>IFERROR(IF(OR(INDEX(tblTrans[ProductID],21)="",ISNUMBER(SEARCH("ProductID",INDEX(tblTrans[ProductID],21)))),"",INDEX(tblTrans[Date],21)),"")</f>
        <v/>
      </c>
      <c r="B22" t="str">
        <f>IFERROR(IF(OR(INDEX(tblTrans[ProductID],21)="",ISNUMBER(SEARCH("ProductID",INDEX(tblTrans[ProductID],21)))),"",INDEX(tblTrans[ProductID],21)),"")</f>
        <v/>
      </c>
      <c r="C22" t="str">
        <f>IFERROR(IF(OR(INDEX(tblTrans[ProductID],21)="",ISNUMBER(SEARCH("ProductID",INDEX(tblTrans[ProductID],21)))),"",INDEX(tblTrans[Location],21)),"")</f>
        <v/>
      </c>
      <c r="D22" t="str">
        <f>IFERROR(IF(OR(INDEX(tblTrans[ProductID],21)="",ISNUMBER(SEARCH("ProductID",INDEX(tblTrans[ProductID],21)))),"",INDEX(tblTrans[Quantity],21)),"")</f>
        <v/>
      </c>
      <c r="E22" t="str">
        <f>IFERROR(IF(OR(INDEX(tblTrans[ProductID],21)="",ISNUMBER(SEARCH("ProductID",INDEX(tblTrans[ProductID],21)))),"",INDEX(tblTrans[Type],21)),"")</f>
        <v/>
      </c>
      <c r="F22" t="str">
        <f>IFERROR(IF(OR(INDEX(tblTrans[ProductID],21)="",ISNUMBER(SEARCH("ProductID",INDEX(tblTrans[ProductID],21)))),"",_xlfn.XLOOKUP(B22,tblProducts[ProductID],tblProducts[ProductName],"")),"")</f>
        <v/>
      </c>
      <c r="G22" t="str">
        <f>IFERROR(IF(OR(INDEX(tblTrans[ProductID],21)="",ISNUMBER(SEARCH("ProductID",INDEX(tblTrans[ProductID],21)))),"",_xlfn.XLOOKUP(B22,tblProducts[ProductID],tblProducts[Category],"")),"")</f>
        <v/>
      </c>
      <c r="H22" t="str">
        <f>IFERROR(IF(OR(INDEX(tblTrans[ProductID],21)="",ISNUMBER(SEARCH("ProductID",INDEX(tblTrans[ProductID],21)))),"",_xlfn.XLOOKUP(B22,tblProducts[ProductID],tblProducts[Supplier],"")),"")</f>
        <v/>
      </c>
      <c r="I22" t="str">
        <f>IFERROR(IF(OR(INDEX(tblTrans[ProductID],21)="",ISNUMBER(SEARCH("ProductID",INDEX(tblTrans[ProductID],21)))),"",D22*_xlfn.XLOOKUP(B22,tblProducts[ProductID],tblProducts[UnitCost],0)),"")</f>
        <v/>
      </c>
    </row>
    <row r="23" spans="1:9" x14ac:dyDescent="0.3">
      <c r="A23" s="5" t="str">
        <f>IFERROR(IF(OR(INDEX(tblTrans[ProductID],22)="",ISNUMBER(SEARCH("ProductID",INDEX(tblTrans[ProductID],22)))),"",INDEX(tblTrans[Date],22)),"")</f>
        <v/>
      </c>
      <c r="B23" t="str">
        <f>IFERROR(IF(OR(INDEX(tblTrans[ProductID],22)="",ISNUMBER(SEARCH("ProductID",INDEX(tblTrans[ProductID],22)))),"",INDEX(tblTrans[ProductID],22)),"")</f>
        <v/>
      </c>
      <c r="C23" t="str">
        <f>IFERROR(IF(OR(INDEX(tblTrans[ProductID],22)="",ISNUMBER(SEARCH("ProductID",INDEX(tblTrans[ProductID],22)))),"",INDEX(tblTrans[Location],22)),"")</f>
        <v/>
      </c>
      <c r="D23" t="str">
        <f>IFERROR(IF(OR(INDEX(tblTrans[ProductID],22)="",ISNUMBER(SEARCH("ProductID",INDEX(tblTrans[ProductID],22)))),"",INDEX(tblTrans[Quantity],22)),"")</f>
        <v/>
      </c>
      <c r="E23" t="str">
        <f>IFERROR(IF(OR(INDEX(tblTrans[ProductID],22)="",ISNUMBER(SEARCH("ProductID",INDEX(tblTrans[ProductID],22)))),"",INDEX(tblTrans[Type],22)),"")</f>
        <v/>
      </c>
      <c r="F23" t="str">
        <f>IFERROR(IF(OR(INDEX(tblTrans[ProductID],22)="",ISNUMBER(SEARCH("ProductID",INDEX(tblTrans[ProductID],22)))),"",_xlfn.XLOOKUP(B23,tblProducts[ProductID],tblProducts[ProductName],"")),"")</f>
        <v/>
      </c>
      <c r="G23" t="str">
        <f>IFERROR(IF(OR(INDEX(tblTrans[ProductID],22)="",ISNUMBER(SEARCH("ProductID",INDEX(tblTrans[ProductID],22)))),"",_xlfn.XLOOKUP(B23,tblProducts[ProductID],tblProducts[Category],"")),"")</f>
        <v/>
      </c>
      <c r="H23" t="str">
        <f>IFERROR(IF(OR(INDEX(tblTrans[ProductID],22)="",ISNUMBER(SEARCH("ProductID",INDEX(tblTrans[ProductID],22)))),"",_xlfn.XLOOKUP(B23,tblProducts[ProductID],tblProducts[Supplier],"")),"")</f>
        <v/>
      </c>
      <c r="I23" t="str">
        <f>IFERROR(IF(OR(INDEX(tblTrans[ProductID],22)="",ISNUMBER(SEARCH("ProductID",INDEX(tblTrans[ProductID],22)))),"",D23*_xlfn.XLOOKUP(B23,tblProducts[ProductID],tblProducts[UnitCost],0)),"")</f>
        <v/>
      </c>
    </row>
    <row r="24" spans="1:9" x14ac:dyDescent="0.3">
      <c r="A24" s="5" t="str">
        <f>IFERROR(IF(OR(INDEX(tblTrans[ProductID],23)="",ISNUMBER(SEARCH("ProductID",INDEX(tblTrans[ProductID],23)))),"",INDEX(tblTrans[Date],23)),"")</f>
        <v/>
      </c>
      <c r="B24" t="str">
        <f>IFERROR(IF(OR(INDEX(tblTrans[ProductID],23)="",ISNUMBER(SEARCH("ProductID",INDEX(tblTrans[ProductID],23)))),"",INDEX(tblTrans[ProductID],23)),"")</f>
        <v/>
      </c>
      <c r="C24" t="str">
        <f>IFERROR(IF(OR(INDEX(tblTrans[ProductID],23)="",ISNUMBER(SEARCH("ProductID",INDEX(tblTrans[ProductID],23)))),"",INDEX(tblTrans[Location],23)),"")</f>
        <v/>
      </c>
      <c r="D24" t="str">
        <f>IFERROR(IF(OR(INDEX(tblTrans[ProductID],23)="",ISNUMBER(SEARCH("ProductID",INDEX(tblTrans[ProductID],23)))),"",INDEX(tblTrans[Quantity],23)),"")</f>
        <v/>
      </c>
      <c r="E24" t="str">
        <f>IFERROR(IF(OR(INDEX(tblTrans[ProductID],23)="",ISNUMBER(SEARCH("ProductID",INDEX(tblTrans[ProductID],23)))),"",INDEX(tblTrans[Type],23)),"")</f>
        <v/>
      </c>
      <c r="F24" t="str">
        <f>IFERROR(IF(OR(INDEX(tblTrans[ProductID],23)="",ISNUMBER(SEARCH("ProductID",INDEX(tblTrans[ProductID],23)))),"",_xlfn.XLOOKUP(B24,tblProducts[ProductID],tblProducts[ProductName],"")),"")</f>
        <v/>
      </c>
      <c r="G24" t="str">
        <f>IFERROR(IF(OR(INDEX(tblTrans[ProductID],23)="",ISNUMBER(SEARCH("ProductID",INDEX(tblTrans[ProductID],23)))),"",_xlfn.XLOOKUP(B24,tblProducts[ProductID],tblProducts[Category],"")),"")</f>
        <v/>
      </c>
      <c r="H24" t="str">
        <f>IFERROR(IF(OR(INDEX(tblTrans[ProductID],23)="",ISNUMBER(SEARCH("ProductID",INDEX(tblTrans[ProductID],23)))),"",_xlfn.XLOOKUP(B24,tblProducts[ProductID],tblProducts[Supplier],"")),"")</f>
        <v/>
      </c>
      <c r="I24" t="str">
        <f>IFERROR(IF(OR(INDEX(tblTrans[ProductID],23)="",ISNUMBER(SEARCH("ProductID",INDEX(tblTrans[ProductID],23)))),"",D24*_xlfn.XLOOKUP(B24,tblProducts[ProductID],tblProducts[UnitCost],0)),"")</f>
        <v/>
      </c>
    </row>
    <row r="25" spans="1:9" x14ac:dyDescent="0.3">
      <c r="A25" s="5" t="str">
        <f>IFERROR(IF(OR(INDEX(tblTrans[ProductID],24)="",ISNUMBER(SEARCH("ProductID",INDEX(tblTrans[ProductID],24)))),"",INDEX(tblTrans[Date],24)),"")</f>
        <v/>
      </c>
      <c r="B25" t="str">
        <f>IFERROR(IF(OR(INDEX(tblTrans[ProductID],24)="",ISNUMBER(SEARCH("ProductID",INDEX(tblTrans[ProductID],24)))),"",INDEX(tblTrans[ProductID],24)),"")</f>
        <v/>
      </c>
      <c r="C25" t="str">
        <f>IFERROR(IF(OR(INDEX(tblTrans[ProductID],24)="",ISNUMBER(SEARCH("ProductID",INDEX(tblTrans[ProductID],24)))),"",INDEX(tblTrans[Location],24)),"")</f>
        <v/>
      </c>
      <c r="D25" t="str">
        <f>IFERROR(IF(OR(INDEX(tblTrans[ProductID],24)="",ISNUMBER(SEARCH("ProductID",INDEX(tblTrans[ProductID],24)))),"",INDEX(tblTrans[Quantity],24)),"")</f>
        <v/>
      </c>
      <c r="E25" t="str">
        <f>IFERROR(IF(OR(INDEX(tblTrans[ProductID],24)="",ISNUMBER(SEARCH("ProductID",INDEX(tblTrans[ProductID],24)))),"",INDEX(tblTrans[Type],24)),"")</f>
        <v/>
      </c>
      <c r="F25" t="str">
        <f>IFERROR(IF(OR(INDEX(tblTrans[ProductID],24)="",ISNUMBER(SEARCH("ProductID",INDEX(tblTrans[ProductID],24)))),"",_xlfn.XLOOKUP(B25,tblProducts[ProductID],tblProducts[ProductName],"")),"")</f>
        <v/>
      </c>
      <c r="G25" t="str">
        <f>IFERROR(IF(OR(INDEX(tblTrans[ProductID],24)="",ISNUMBER(SEARCH("ProductID",INDEX(tblTrans[ProductID],24)))),"",_xlfn.XLOOKUP(B25,tblProducts[ProductID],tblProducts[Category],"")),"")</f>
        <v/>
      </c>
      <c r="H25" t="str">
        <f>IFERROR(IF(OR(INDEX(tblTrans[ProductID],24)="",ISNUMBER(SEARCH("ProductID",INDEX(tblTrans[ProductID],24)))),"",_xlfn.XLOOKUP(B25,tblProducts[ProductID],tblProducts[Supplier],"")),"")</f>
        <v/>
      </c>
      <c r="I25" t="str">
        <f>IFERROR(IF(OR(INDEX(tblTrans[ProductID],24)="",ISNUMBER(SEARCH("ProductID",INDEX(tblTrans[ProductID],24)))),"",D25*_xlfn.XLOOKUP(B25,tblProducts[ProductID],tblProducts[UnitCost],0)),"")</f>
        <v/>
      </c>
    </row>
    <row r="26" spans="1:9" x14ac:dyDescent="0.3">
      <c r="A26" s="5" t="str">
        <f>IFERROR(IF(OR(INDEX(tblTrans[ProductID],25)="",ISNUMBER(SEARCH("ProductID",INDEX(tblTrans[ProductID],25)))),"",INDEX(tblTrans[Date],25)),"")</f>
        <v/>
      </c>
      <c r="B26" t="str">
        <f>IFERROR(IF(OR(INDEX(tblTrans[ProductID],25)="",ISNUMBER(SEARCH("ProductID",INDEX(tblTrans[ProductID],25)))),"",INDEX(tblTrans[ProductID],25)),"")</f>
        <v/>
      </c>
      <c r="C26" t="str">
        <f>IFERROR(IF(OR(INDEX(tblTrans[ProductID],25)="",ISNUMBER(SEARCH("ProductID",INDEX(tblTrans[ProductID],25)))),"",INDEX(tblTrans[Location],25)),"")</f>
        <v/>
      </c>
      <c r="D26" t="str">
        <f>IFERROR(IF(OR(INDEX(tblTrans[ProductID],25)="",ISNUMBER(SEARCH("ProductID",INDEX(tblTrans[ProductID],25)))),"",INDEX(tblTrans[Quantity],25)),"")</f>
        <v/>
      </c>
      <c r="E26" t="str">
        <f>IFERROR(IF(OR(INDEX(tblTrans[ProductID],25)="",ISNUMBER(SEARCH("ProductID",INDEX(tblTrans[ProductID],25)))),"",INDEX(tblTrans[Type],25)),"")</f>
        <v/>
      </c>
      <c r="F26" t="str">
        <f>IFERROR(IF(OR(INDEX(tblTrans[ProductID],25)="",ISNUMBER(SEARCH("ProductID",INDEX(tblTrans[ProductID],25)))),"",_xlfn.XLOOKUP(B26,tblProducts[ProductID],tblProducts[ProductName],"")),"")</f>
        <v/>
      </c>
      <c r="G26" t="str">
        <f>IFERROR(IF(OR(INDEX(tblTrans[ProductID],25)="",ISNUMBER(SEARCH("ProductID",INDEX(tblTrans[ProductID],25)))),"",_xlfn.XLOOKUP(B26,tblProducts[ProductID],tblProducts[Category],"")),"")</f>
        <v/>
      </c>
      <c r="H26" t="str">
        <f>IFERROR(IF(OR(INDEX(tblTrans[ProductID],25)="",ISNUMBER(SEARCH("ProductID",INDEX(tblTrans[ProductID],25)))),"",_xlfn.XLOOKUP(B26,tblProducts[ProductID],tblProducts[Supplier],"")),"")</f>
        <v/>
      </c>
      <c r="I26" t="str">
        <f>IFERROR(IF(OR(INDEX(tblTrans[ProductID],25)="",ISNUMBER(SEARCH("ProductID",INDEX(tblTrans[ProductID],25)))),"",D26*_xlfn.XLOOKUP(B26,tblProducts[ProductID],tblProducts[UnitCost],0)),"")</f>
        <v/>
      </c>
    </row>
    <row r="27" spans="1:9" x14ac:dyDescent="0.3">
      <c r="A27" s="5" t="str">
        <f>IFERROR(IF(OR(INDEX(tblTrans[ProductID],26)="",ISNUMBER(SEARCH("ProductID",INDEX(tblTrans[ProductID],26)))),"",INDEX(tblTrans[Date],26)),"")</f>
        <v/>
      </c>
      <c r="B27" t="str">
        <f>IFERROR(IF(OR(INDEX(tblTrans[ProductID],26)="",ISNUMBER(SEARCH("ProductID",INDEX(tblTrans[ProductID],26)))),"",INDEX(tblTrans[ProductID],26)),"")</f>
        <v/>
      </c>
      <c r="C27" t="str">
        <f>IFERROR(IF(OR(INDEX(tblTrans[ProductID],26)="",ISNUMBER(SEARCH("ProductID",INDEX(tblTrans[ProductID],26)))),"",INDEX(tblTrans[Location],26)),"")</f>
        <v/>
      </c>
      <c r="D27" t="str">
        <f>IFERROR(IF(OR(INDEX(tblTrans[ProductID],26)="",ISNUMBER(SEARCH("ProductID",INDEX(tblTrans[ProductID],26)))),"",INDEX(tblTrans[Quantity],26)),"")</f>
        <v/>
      </c>
      <c r="E27" t="str">
        <f>IFERROR(IF(OR(INDEX(tblTrans[ProductID],26)="",ISNUMBER(SEARCH("ProductID",INDEX(tblTrans[ProductID],26)))),"",INDEX(tblTrans[Type],26)),"")</f>
        <v/>
      </c>
      <c r="F27" t="str">
        <f>IFERROR(IF(OR(INDEX(tblTrans[ProductID],26)="",ISNUMBER(SEARCH("ProductID",INDEX(tblTrans[ProductID],26)))),"",_xlfn.XLOOKUP(B27,tblProducts[ProductID],tblProducts[ProductName],"")),"")</f>
        <v/>
      </c>
      <c r="G27" t="str">
        <f>IFERROR(IF(OR(INDEX(tblTrans[ProductID],26)="",ISNUMBER(SEARCH("ProductID",INDEX(tblTrans[ProductID],26)))),"",_xlfn.XLOOKUP(B27,tblProducts[ProductID],tblProducts[Category],"")),"")</f>
        <v/>
      </c>
      <c r="H27" t="str">
        <f>IFERROR(IF(OR(INDEX(tblTrans[ProductID],26)="",ISNUMBER(SEARCH("ProductID",INDEX(tblTrans[ProductID],26)))),"",_xlfn.XLOOKUP(B27,tblProducts[ProductID],tblProducts[Supplier],"")),"")</f>
        <v/>
      </c>
      <c r="I27" t="str">
        <f>IFERROR(IF(OR(INDEX(tblTrans[ProductID],26)="",ISNUMBER(SEARCH("ProductID",INDEX(tblTrans[ProductID],26)))),"",D27*_xlfn.XLOOKUP(B27,tblProducts[ProductID],tblProducts[UnitCost],0)),"")</f>
        <v/>
      </c>
    </row>
    <row r="28" spans="1:9" x14ac:dyDescent="0.3">
      <c r="A28" s="5" t="str">
        <f>IFERROR(IF(OR(INDEX(tblTrans[ProductID],27)="",ISNUMBER(SEARCH("ProductID",INDEX(tblTrans[ProductID],27)))),"",INDEX(tblTrans[Date],27)),"")</f>
        <v/>
      </c>
      <c r="B28" t="str">
        <f>IFERROR(IF(OR(INDEX(tblTrans[ProductID],27)="",ISNUMBER(SEARCH("ProductID",INDEX(tblTrans[ProductID],27)))),"",INDEX(tblTrans[ProductID],27)),"")</f>
        <v/>
      </c>
      <c r="C28" t="str">
        <f>IFERROR(IF(OR(INDEX(tblTrans[ProductID],27)="",ISNUMBER(SEARCH("ProductID",INDEX(tblTrans[ProductID],27)))),"",INDEX(tblTrans[Location],27)),"")</f>
        <v/>
      </c>
      <c r="D28" t="str">
        <f>IFERROR(IF(OR(INDEX(tblTrans[ProductID],27)="",ISNUMBER(SEARCH("ProductID",INDEX(tblTrans[ProductID],27)))),"",INDEX(tblTrans[Quantity],27)),"")</f>
        <v/>
      </c>
      <c r="E28" t="str">
        <f>IFERROR(IF(OR(INDEX(tblTrans[ProductID],27)="",ISNUMBER(SEARCH("ProductID",INDEX(tblTrans[ProductID],27)))),"",INDEX(tblTrans[Type],27)),"")</f>
        <v/>
      </c>
      <c r="F28" t="str">
        <f>IFERROR(IF(OR(INDEX(tblTrans[ProductID],27)="",ISNUMBER(SEARCH("ProductID",INDEX(tblTrans[ProductID],27)))),"",_xlfn.XLOOKUP(B28,tblProducts[ProductID],tblProducts[ProductName],"")),"")</f>
        <v/>
      </c>
      <c r="G28" t="str">
        <f>IFERROR(IF(OR(INDEX(tblTrans[ProductID],27)="",ISNUMBER(SEARCH("ProductID",INDEX(tblTrans[ProductID],27)))),"",_xlfn.XLOOKUP(B28,tblProducts[ProductID],tblProducts[Category],"")),"")</f>
        <v/>
      </c>
      <c r="H28" t="str">
        <f>IFERROR(IF(OR(INDEX(tblTrans[ProductID],27)="",ISNUMBER(SEARCH("ProductID",INDEX(tblTrans[ProductID],27)))),"",_xlfn.XLOOKUP(B28,tblProducts[ProductID],tblProducts[Supplier],"")),"")</f>
        <v/>
      </c>
      <c r="I28" t="str">
        <f>IFERROR(IF(OR(INDEX(tblTrans[ProductID],27)="",ISNUMBER(SEARCH("ProductID",INDEX(tblTrans[ProductID],27)))),"",D28*_xlfn.XLOOKUP(B28,tblProducts[ProductID],tblProducts[UnitCost],0)),"")</f>
        <v/>
      </c>
    </row>
    <row r="29" spans="1:9" x14ac:dyDescent="0.3">
      <c r="A29" s="5" t="str">
        <f>IFERROR(IF(OR(INDEX(tblTrans[ProductID],28)="",ISNUMBER(SEARCH("ProductID",INDEX(tblTrans[ProductID],28)))),"",INDEX(tblTrans[Date],28)),"")</f>
        <v/>
      </c>
      <c r="B29" t="str">
        <f>IFERROR(IF(OR(INDEX(tblTrans[ProductID],28)="",ISNUMBER(SEARCH("ProductID",INDEX(tblTrans[ProductID],28)))),"",INDEX(tblTrans[ProductID],28)),"")</f>
        <v/>
      </c>
      <c r="C29" t="str">
        <f>IFERROR(IF(OR(INDEX(tblTrans[ProductID],28)="",ISNUMBER(SEARCH("ProductID",INDEX(tblTrans[ProductID],28)))),"",INDEX(tblTrans[Location],28)),"")</f>
        <v/>
      </c>
      <c r="D29" t="str">
        <f>IFERROR(IF(OR(INDEX(tblTrans[ProductID],28)="",ISNUMBER(SEARCH("ProductID",INDEX(tblTrans[ProductID],28)))),"",INDEX(tblTrans[Quantity],28)),"")</f>
        <v/>
      </c>
      <c r="E29" t="str">
        <f>IFERROR(IF(OR(INDEX(tblTrans[ProductID],28)="",ISNUMBER(SEARCH("ProductID",INDEX(tblTrans[ProductID],28)))),"",INDEX(tblTrans[Type],28)),"")</f>
        <v/>
      </c>
      <c r="F29" t="str">
        <f>IFERROR(IF(OR(INDEX(tblTrans[ProductID],28)="",ISNUMBER(SEARCH("ProductID",INDEX(tblTrans[ProductID],28)))),"",_xlfn.XLOOKUP(B29,tblProducts[ProductID],tblProducts[ProductName],"")),"")</f>
        <v/>
      </c>
      <c r="G29" t="str">
        <f>IFERROR(IF(OR(INDEX(tblTrans[ProductID],28)="",ISNUMBER(SEARCH("ProductID",INDEX(tblTrans[ProductID],28)))),"",_xlfn.XLOOKUP(B29,tblProducts[ProductID],tblProducts[Category],"")),"")</f>
        <v/>
      </c>
      <c r="H29" t="str">
        <f>IFERROR(IF(OR(INDEX(tblTrans[ProductID],28)="",ISNUMBER(SEARCH("ProductID",INDEX(tblTrans[ProductID],28)))),"",_xlfn.XLOOKUP(B29,tblProducts[ProductID],tblProducts[Supplier],"")),"")</f>
        <v/>
      </c>
      <c r="I29" t="str">
        <f>IFERROR(IF(OR(INDEX(tblTrans[ProductID],28)="",ISNUMBER(SEARCH("ProductID",INDEX(tblTrans[ProductID],28)))),"",D29*_xlfn.XLOOKUP(B29,tblProducts[ProductID],tblProducts[UnitCost],0)),"")</f>
        <v/>
      </c>
    </row>
    <row r="30" spans="1:9" x14ac:dyDescent="0.3">
      <c r="A30" s="5" t="str">
        <f>IFERROR(IF(OR(INDEX(tblTrans[ProductID],29)="",ISNUMBER(SEARCH("ProductID",INDEX(tblTrans[ProductID],29)))),"",INDEX(tblTrans[Date],29)),"")</f>
        <v/>
      </c>
      <c r="B30" t="str">
        <f>IFERROR(IF(OR(INDEX(tblTrans[ProductID],29)="",ISNUMBER(SEARCH("ProductID",INDEX(tblTrans[ProductID],29)))),"",INDEX(tblTrans[ProductID],29)),"")</f>
        <v/>
      </c>
      <c r="C30" t="str">
        <f>IFERROR(IF(OR(INDEX(tblTrans[ProductID],29)="",ISNUMBER(SEARCH("ProductID",INDEX(tblTrans[ProductID],29)))),"",INDEX(tblTrans[Location],29)),"")</f>
        <v/>
      </c>
      <c r="D30" t="str">
        <f>IFERROR(IF(OR(INDEX(tblTrans[ProductID],29)="",ISNUMBER(SEARCH("ProductID",INDEX(tblTrans[ProductID],29)))),"",INDEX(tblTrans[Quantity],29)),"")</f>
        <v/>
      </c>
      <c r="E30" t="str">
        <f>IFERROR(IF(OR(INDEX(tblTrans[ProductID],29)="",ISNUMBER(SEARCH("ProductID",INDEX(tblTrans[ProductID],29)))),"",INDEX(tblTrans[Type],29)),"")</f>
        <v/>
      </c>
      <c r="F30" t="str">
        <f>IFERROR(IF(OR(INDEX(tblTrans[ProductID],29)="",ISNUMBER(SEARCH("ProductID",INDEX(tblTrans[ProductID],29)))),"",_xlfn.XLOOKUP(B30,tblProducts[ProductID],tblProducts[ProductName],"")),"")</f>
        <v/>
      </c>
      <c r="G30" t="str">
        <f>IFERROR(IF(OR(INDEX(tblTrans[ProductID],29)="",ISNUMBER(SEARCH("ProductID",INDEX(tblTrans[ProductID],29)))),"",_xlfn.XLOOKUP(B30,tblProducts[ProductID],tblProducts[Category],"")),"")</f>
        <v/>
      </c>
      <c r="H30" t="str">
        <f>IFERROR(IF(OR(INDEX(tblTrans[ProductID],29)="",ISNUMBER(SEARCH("ProductID",INDEX(tblTrans[ProductID],29)))),"",_xlfn.XLOOKUP(B30,tblProducts[ProductID],tblProducts[Supplier],"")),"")</f>
        <v/>
      </c>
      <c r="I30" t="str">
        <f>IFERROR(IF(OR(INDEX(tblTrans[ProductID],29)="",ISNUMBER(SEARCH("ProductID",INDEX(tblTrans[ProductID],29)))),"",D30*_xlfn.XLOOKUP(B30,tblProducts[ProductID],tblProducts[UnitCost],0)),"")</f>
        <v/>
      </c>
    </row>
    <row r="31" spans="1:9" x14ac:dyDescent="0.3">
      <c r="A31" s="5" t="str">
        <f>IFERROR(IF(OR(INDEX(tblTrans[ProductID],30)="",ISNUMBER(SEARCH("ProductID",INDEX(tblTrans[ProductID],30)))),"",INDEX(tblTrans[Date],30)),"")</f>
        <v/>
      </c>
      <c r="B31" t="str">
        <f>IFERROR(IF(OR(INDEX(tblTrans[ProductID],30)="",ISNUMBER(SEARCH("ProductID",INDEX(tblTrans[ProductID],30)))),"",INDEX(tblTrans[ProductID],30)),"")</f>
        <v/>
      </c>
      <c r="C31" t="str">
        <f>IFERROR(IF(OR(INDEX(tblTrans[ProductID],30)="",ISNUMBER(SEARCH("ProductID",INDEX(tblTrans[ProductID],30)))),"",INDEX(tblTrans[Location],30)),"")</f>
        <v/>
      </c>
      <c r="D31" t="str">
        <f>IFERROR(IF(OR(INDEX(tblTrans[ProductID],30)="",ISNUMBER(SEARCH("ProductID",INDEX(tblTrans[ProductID],30)))),"",INDEX(tblTrans[Quantity],30)),"")</f>
        <v/>
      </c>
      <c r="E31" t="str">
        <f>IFERROR(IF(OR(INDEX(tblTrans[ProductID],30)="",ISNUMBER(SEARCH("ProductID",INDEX(tblTrans[ProductID],30)))),"",INDEX(tblTrans[Type],30)),"")</f>
        <v/>
      </c>
      <c r="F31" t="str">
        <f>IFERROR(IF(OR(INDEX(tblTrans[ProductID],30)="",ISNUMBER(SEARCH("ProductID",INDEX(tblTrans[ProductID],30)))),"",_xlfn.XLOOKUP(B31,tblProducts[ProductID],tblProducts[ProductName],"")),"")</f>
        <v/>
      </c>
      <c r="G31" t="str">
        <f>IFERROR(IF(OR(INDEX(tblTrans[ProductID],30)="",ISNUMBER(SEARCH("ProductID",INDEX(tblTrans[ProductID],30)))),"",_xlfn.XLOOKUP(B31,tblProducts[ProductID],tblProducts[Category],"")),"")</f>
        <v/>
      </c>
      <c r="H31" t="str">
        <f>IFERROR(IF(OR(INDEX(tblTrans[ProductID],30)="",ISNUMBER(SEARCH("ProductID",INDEX(tblTrans[ProductID],30)))),"",_xlfn.XLOOKUP(B31,tblProducts[ProductID],tblProducts[Supplier],"")),"")</f>
        <v/>
      </c>
      <c r="I31" t="str">
        <f>IFERROR(IF(OR(INDEX(tblTrans[ProductID],30)="",ISNUMBER(SEARCH("ProductID",INDEX(tblTrans[ProductID],30)))),"",D31*_xlfn.XLOOKUP(B31,tblProducts[ProductID],tblProducts[UnitCost],0)),"")</f>
        <v/>
      </c>
    </row>
    <row r="32" spans="1:9" x14ac:dyDescent="0.3">
      <c r="A32" s="5" t="str">
        <f>IFERROR(IF(OR(INDEX(tblTrans[ProductID],31)="",ISNUMBER(SEARCH("ProductID",INDEX(tblTrans[ProductID],31)))),"",INDEX(tblTrans[Date],31)),"")</f>
        <v/>
      </c>
      <c r="B32" t="str">
        <f>IFERROR(IF(OR(INDEX(tblTrans[ProductID],31)="",ISNUMBER(SEARCH("ProductID",INDEX(tblTrans[ProductID],31)))),"",INDEX(tblTrans[ProductID],31)),"")</f>
        <v/>
      </c>
      <c r="C32" t="str">
        <f>IFERROR(IF(OR(INDEX(tblTrans[ProductID],31)="",ISNUMBER(SEARCH("ProductID",INDEX(tblTrans[ProductID],31)))),"",INDEX(tblTrans[Location],31)),"")</f>
        <v/>
      </c>
      <c r="D32" t="str">
        <f>IFERROR(IF(OR(INDEX(tblTrans[ProductID],31)="",ISNUMBER(SEARCH("ProductID",INDEX(tblTrans[ProductID],31)))),"",INDEX(tblTrans[Quantity],31)),"")</f>
        <v/>
      </c>
      <c r="E32" t="str">
        <f>IFERROR(IF(OR(INDEX(tblTrans[ProductID],31)="",ISNUMBER(SEARCH("ProductID",INDEX(tblTrans[ProductID],31)))),"",INDEX(tblTrans[Type],31)),"")</f>
        <v/>
      </c>
      <c r="F32" t="str">
        <f>IFERROR(IF(OR(INDEX(tblTrans[ProductID],31)="",ISNUMBER(SEARCH("ProductID",INDEX(tblTrans[ProductID],31)))),"",_xlfn.XLOOKUP(B32,tblProducts[ProductID],tblProducts[ProductName],"")),"")</f>
        <v/>
      </c>
      <c r="G32" t="str">
        <f>IFERROR(IF(OR(INDEX(tblTrans[ProductID],31)="",ISNUMBER(SEARCH("ProductID",INDEX(tblTrans[ProductID],31)))),"",_xlfn.XLOOKUP(B32,tblProducts[ProductID],tblProducts[Category],"")),"")</f>
        <v/>
      </c>
      <c r="H32" t="str">
        <f>IFERROR(IF(OR(INDEX(tblTrans[ProductID],31)="",ISNUMBER(SEARCH("ProductID",INDEX(tblTrans[ProductID],31)))),"",_xlfn.XLOOKUP(B32,tblProducts[ProductID],tblProducts[Supplier],"")),"")</f>
        <v/>
      </c>
      <c r="I32" t="str">
        <f>IFERROR(IF(OR(INDEX(tblTrans[ProductID],31)="",ISNUMBER(SEARCH("ProductID",INDEX(tblTrans[ProductID],31)))),"",D32*_xlfn.XLOOKUP(B32,tblProducts[ProductID],tblProducts[UnitCost],0)),"")</f>
        <v/>
      </c>
    </row>
    <row r="33" spans="1:9" x14ac:dyDescent="0.3">
      <c r="A33" s="5" t="str">
        <f>IFERROR(IF(OR(INDEX(tblTrans[ProductID],32)="",ISNUMBER(SEARCH("ProductID",INDEX(tblTrans[ProductID],32)))),"",INDEX(tblTrans[Date],32)),"")</f>
        <v/>
      </c>
      <c r="B33" t="str">
        <f>IFERROR(IF(OR(INDEX(tblTrans[ProductID],32)="",ISNUMBER(SEARCH("ProductID",INDEX(tblTrans[ProductID],32)))),"",INDEX(tblTrans[ProductID],32)),"")</f>
        <v/>
      </c>
      <c r="C33" t="str">
        <f>IFERROR(IF(OR(INDEX(tblTrans[ProductID],32)="",ISNUMBER(SEARCH("ProductID",INDEX(tblTrans[ProductID],32)))),"",INDEX(tblTrans[Location],32)),"")</f>
        <v/>
      </c>
      <c r="D33" t="str">
        <f>IFERROR(IF(OR(INDEX(tblTrans[ProductID],32)="",ISNUMBER(SEARCH("ProductID",INDEX(tblTrans[ProductID],32)))),"",INDEX(tblTrans[Quantity],32)),"")</f>
        <v/>
      </c>
      <c r="E33" t="str">
        <f>IFERROR(IF(OR(INDEX(tblTrans[ProductID],32)="",ISNUMBER(SEARCH("ProductID",INDEX(tblTrans[ProductID],32)))),"",INDEX(tblTrans[Type],32)),"")</f>
        <v/>
      </c>
      <c r="F33" t="str">
        <f>IFERROR(IF(OR(INDEX(tblTrans[ProductID],32)="",ISNUMBER(SEARCH("ProductID",INDEX(tblTrans[ProductID],32)))),"",_xlfn.XLOOKUP(B33,tblProducts[ProductID],tblProducts[ProductName],"")),"")</f>
        <v/>
      </c>
      <c r="G33" t="str">
        <f>IFERROR(IF(OR(INDEX(tblTrans[ProductID],32)="",ISNUMBER(SEARCH("ProductID",INDEX(tblTrans[ProductID],32)))),"",_xlfn.XLOOKUP(B33,tblProducts[ProductID],tblProducts[Category],"")),"")</f>
        <v/>
      </c>
      <c r="H33" t="str">
        <f>IFERROR(IF(OR(INDEX(tblTrans[ProductID],32)="",ISNUMBER(SEARCH("ProductID",INDEX(tblTrans[ProductID],32)))),"",_xlfn.XLOOKUP(B33,tblProducts[ProductID],tblProducts[Supplier],"")),"")</f>
        <v/>
      </c>
      <c r="I33" t="str">
        <f>IFERROR(IF(OR(INDEX(tblTrans[ProductID],32)="",ISNUMBER(SEARCH("ProductID",INDEX(tblTrans[ProductID],32)))),"",D33*_xlfn.XLOOKUP(B33,tblProducts[ProductID],tblProducts[UnitCost],0)),"")</f>
        <v/>
      </c>
    </row>
    <row r="34" spans="1:9" x14ac:dyDescent="0.3">
      <c r="A34" s="5" t="str">
        <f>IFERROR(IF(OR(INDEX(tblTrans[ProductID],33)="",ISNUMBER(SEARCH("ProductID",INDEX(tblTrans[ProductID],33)))),"",INDEX(tblTrans[Date],33)),"")</f>
        <v/>
      </c>
      <c r="B34" t="str">
        <f>IFERROR(IF(OR(INDEX(tblTrans[ProductID],33)="",ISNUMBER(SEARCH("ProductID",INDEX(tblTrans[ProductID],33)))),"",INDEX(tblTrans[ProductID],33)),"")</f>
        <v/>
      </c>
      <c r="C34" t="str">
        <f>IFERROR(IF(OR(INDEX(tblTrans[ProductID],33)="",ISNUMBER(SEARCH("ProductID",INDEX(tblTrans[ProductID],33)))),"",INDEX(tblTrans[Location],33)),"")</f>
        <v/>
      </c>
      <c r="D34" t="str">
        <f>IFERROR(IF(OR(INDEX(tblTrans[ProductID],33)="",ISNUMBER(SEARCH("ProductID",INDEX(tblTrans[ProductID],33)))),"",INDEX(tblTrans[Quantity],33)),"")</f>
        <v/>
      </c>
      <c r="E34" t="str">
        <f>IFERROR(IF(OR(INDEX(tblTrans[ProductID],33)="",ISNUMBER(SEARCH("ProductID",INDEX(tblTrans[ProductID],33)))),"",INDEX(tblTrans[Type],33)),"")</f>
        <v/>
      </c>
      <c r="F34" t="str">
        <f>IFERROR(IF(OR(INDEX(tblTrans[ProductID],33)="",ISNUMBER(SEARCH("ProductID",INDEX(tblTrans[ProductID],33)))),"",_xlfn.XLOOKUP(B34,tblProducts[ProductID],tblProducts[ProductName],"")),"")</f>
        <v/>
      </c>
      <c r="G34" t="str">
        <f>IFERROR(IF(OR(INDEX(tblTrans[ProductID],33)="",ISNUMBER(SEARCH("ProductID",INDEX(tblTrans[ProductID],33)))),"",_xlfn.XLOOKUP(B34,tblProducts[ProductID],tblProducts[Category],"")),"")</f>
        <v/>
      </c>
      <c r="H34" t="str">
        <f>IFERROR(IF(OR(INDEX(tblTrans[ProductID],33)="",ISNUMBER(SEARCH("ProductID",INDEX(tblTrans[ProductID],33)))),"",_xlfn.XLOOKUP(B34,tblProducts[ProductID],tblProducts[Supplier],"")),"")</f>
        <v/>
      </c>
      <c r="I34" t="str">
        <f>IFERROR(IF(OR(INDEX(tblTrans[ProductID],33)="",ISNUMBER(SEARCH("ProductID",INDEX(tblTrans[ProductID],33)))),"",D34*_xlfn.XLOOKUP(B34,tblProducts[ProductID],tblProducts[UnitCost],0)),"")</f>
        <v/>
      </c>
    </row>
    <row r="35" spans="1:9" x14ac:dyDescent="0.3">
      <c r="A35" s="5" t="str">
        <f>IFERROR(IF(OR(INDEX(tblTrans[ProductID],34)="",ISNUMBER(SEARCH("ProductID",INDEX(tblTrans[ProductID],34)))),"",INDEX(tblTrans[Date],34)),"")</f>
        <v/>
      </c>
      <c r="B35" t="str">
        <f>IFERROR(IF(OR(INDEX(tblTrans[ProductID],34)="",ISNUMBER(SEARCH("ProductID",INDEX(tblTrans[ProductID],34)))),"",INDEX(tblTrans[ProductID],34)),"")</f>
        <v/>
      </c>
      <c r="C35" t="str">
        <f>IFERROR(IF(OR(INDEX(tblTrans[ProductID],34)="",ISNUMBER(SEARCH("ProductID",INDEX(tblTrans[ProductID],34)))),"",INDEX(tblTrans[Location],34)),"")</f>
        <v/>
      </c>
      <c r="D35" t="str">
        <f>IFERROR(IF(OR(INDEX(tblTrans[ProductID],34)="",ISNUMBER(SEARCH("ProductID",INDEX(tblTrans[ProductID],34)))),"",INDEX(tblTrans[Quantity],34)),"")</f>
        <v/>
      </c>
      <c r="E35" t="str">
        <f>IFERROR(IF(OR(INDEX(tblTrans[ProductID],34)="",ISNUMBER(SEARCH("ProductID",INDEX(tblTrans[ProductID],34)))),"",INDEX(tblTrans[Type],34)),"")</f>
        <v/>
      </c>
      <c r="F35" t="str">
        <f>IFERROR(IF(OR(INDEX(tblTrans[ProductID],34)="",ISNUMBER(SEARCH("ProductID",INDEX(tblTrans[ProductID],34)))),"",_xlfn.XLOOKUP(B35,tblProducts[ProductID],tblProducts[ProductName],"")),"")</f>
        <v/>
      </c>
      <c r="G35" t="str">
        <f>IFERROR(IF(OR(INDEX(tblTrans[ProductID],34)="",ISNUMBER(SEARCH("ProductID",INDEX(tblTrans[ProductID],34)))),"",_xlfn.XLOOKUP(B35,tblProducts[ProductID],tblProducts[Category],"")),"")</f>
        <v/>
      </c>
      <c r="H35" t="str">
        <f>IFERROR(IF(OR(INDEX(tblTrans[ProductID],34)="",ISNUMBER(SEARCH("ProductID",INDEX(tblTrans[ProductID],34)))),"",_xlfn.XLOOKUP(B35,tblProducts[ProductID],tblProducts[Supplier],"")),"")</f>
        <v/>
      </c>
      <c r="I35" t="str">
        <f>IFERROR(IF(OR(INDEX(tblTrans[ProductID],34)="",ISNUMBER(SEARCH("ProductID",INDEX(tblTrans[ProductID],34)))),"",D35*_xlfn.XLOOKUP(B35,tblProducts[ProductID],tblProducts[UnitCost],0)),"")</f>
        <v/>
      </c>
    </row>
    <row r="36" spans="1:9" x14ac:dyDescent="0.3">
      <c r="A36" s="5" t="str">
        <f>IFERROR(IF(OR(INDEX(tblTrans[ProductID],35)="",ISNUMBER(SEARCH("ProductID",INDEX(tblTrans[ProductID],35)))),"",INDEX(tblTrans[Date],35)),"")</f>
        <v/>
      </c>
      <c r="B36" t="str">
        <f>IFERROR(IF(OR(INDEX(tblTrans[ProductID],35)="",ISNUMBER(SEARCH("ProductID",INDEX(tblTrans[ProductID],35)))),"",INDEX(tblTrans[ProductID],35)),"")</f>
        <v/>
      </c>
      <c r="C36" t="str">
        <f>IFERROR(IF(OR(INDEX(tblTrans[ProductID],35)="",ISNUMBER(SEARCH("ProductID",INDEX(tblTrans[ProductID],35)))),"",INDEX(tblTrans[Location],35)),"")</f>
        <v/>
      </c>
      <c r="D36" t="str">
        <f>IFERROR(IF(OR(INDEX(tblTrans[ProductID],35)="",ISNUMBER(SEARCH("ProductID",INDEX(tblTrans[ProductID],35)))),"",INDEX(tblTrans[Quantity],35)),"")</f>
        <v/>
      </c>
      <c r="E36" t="str">
        <f>IFERROR(IF(OR(INDEX(tblTrans[ProductID],35)="",ISNUMBER(SEARCH("ProductID",INDEX(tblTrans[ProductID],35)))),"",INDEX(tblTrans[Type],35)),"")</f>
        <v/>
      </c>
      <c r="F36" t="str">
        <f>IFERROR(IF(OR(INDEX(tblTrans[ProductID],35)="",ISNUMBER(SEARCH("ProductID",INDEX(tblTrans[ProductID],35)))),"",_xlfn.XLOOKUP(B36,tblProducts[ProductID],tblProducts[ProductName],"")),"")</f>
        <v/>
      </c>
      <c r="G36" t="str">
        <f>IFERROR(IF(OR(INDEX(tblTrans[ProductID],35)="",ISNUMBER(SEARCH("ProductID",INDEX(tblTrans[ProductID],35)))),"",_xlfn.XLOOKUP(B36,tblProducts[ProductID],tblProducts[Category],"")),"")</f>
        <v/>
      </c>
      <c r="H36" t="str">
        <f>IFERROR(IF(OR(INDEX(tblTrans[ProductID],35)="",ISNUMBER(SEARCH("ProductID",INDEX(tblTrans[ProductID],35)))),"",_xlfn.XLOOKUP(B36,tblProducts[ProductID],tblProducts[Supplier],"")),"")</f>
        <v/>
      </c>
      <c r="I36" t="str">
        <f>IFERROR(IF(OR(INDEX(tblTrans[ProductID],35)="",ISNUMBER(SEARCH("ProductID",INDEX(tblTrans[ProductID],35)))),"",D36*_xlfn.XLOOKUP(B36,tblProducts[ProductID],tblProducts[UnitCost],0)),"")</f>
        <v/>
      </c>
    </row>
    <row r="37" spans="1:9" x14ac:dyDescent="0.3">
      <c r="A37" s="5" t="str">
        <f>IFERROR(IF(OR(INDEX(tblTrans[ProductID],36)="",ISNUMBER(SEARCH("ProductID",INDEX(tblTrans[ProductID],36)))),"",INDEX(tblTrans[Date],36)),"")</f>
        <v/>
      </c>
      <c r="B37" t="str">
        <f>IFERROR(IF(OR(INDEX(tblTrans[ProductID],36)="",ISNUMBER(SEARCH("ProductID",INDEX(tblTrans[ProductID],36)))),"",INDEX(tblTrans[ProductID],36)),"")</f>
        <v/>
      </c>
      <c r="C37" t="str">
        <f>IFERROR(IF(OR(INDEX(tblTrans[ProductID],36)="",ISNUMBER(SEARCH("ProductID",INDEX(tblTrans[ProductID],36)))),"",INDEX(tblTrans[Location],36)),"")</f>
        <v/>
      </c>
      <c r="D37" t="str">
        <f>IFERROR(IF(OR(INDEX(tblTrans[ProductID],36)="",ISNUMBER(SEARCH("ProductID",INDEX(tblTrans[ProductID],36)))),"",INDEX(tblTrans[Quantity],36)),"")</f>
        <v/>
      </c>
      <c r="E37" t="str">
        <f>IFERROR(IF(OR(INDEX(tblTrans[ProductID],36)="",ISNUMBER(SEARCH("ProductID",INDEX(tblTrans[ProductID],36)))),"",INDEX(tblTrans[Type],36)),"")</f>
        <v/>
      </c>
      <c r="F37" t="str">
        <f>IFERROR(IF(OR(INDEX(tblTrans[ProductID],36)="",ISNUMBER(SEARCH("ProductID",INDEX(tblTrans[ProductID],36)))),"",_xlfn.XLOOKUP(B37,tblProducts[ProductID],tblProducts[ProductName],"")),"")</f>
        <v/>
      </c>
      <c r="G37" t="str">
        <f>IFERROR(IF(OR(INDEX(tblTrans[ProductID],36)="",ISNUMBER(SEARCH("ProductID",INDEX(tblTrans[ProductID],36)))),"",_xlfn.XLOOKUP(B37,tblProducts[ProductID],tblProducts[Category],"")),"")</f>
        <v/>
      </c>
      <c r="H37" t="str">
        <f>IFERROR(IF(OR(INDEX(tblTrans[ProductID],36)="",ISNUMBER(SEARCH("ProductID",INDEX(tblTrans[ProductID],36)))),"",_xlfn.XLOOKUP(B37,tblProducts[ProductID],tblProducts[Supplier],"")),"")</f>
        <v/>
      </c>
      <c r="I37" t="str">
        <f>IFERROR(IF(OR(INDEX(tblTrans[ProductID],36)="",ISNUMBER(SEARCH("ProductID",INDEX(tblTrans[ProductID],36)))),"",D37*_xlfn.XLOOKUP(B37,tblProducts[ProductID],tblProducts[UnitCost],0)),"")</f>
        <v/>
      </c>
    </row>
    <row r="38" spans="1:9" x14ac:dyDescent="0.3">
      <c r="A38" s="5" t="str">
        <f>IFERROR(IF(OR(INDEX(tblTrans[ProductID],37)="",ISNUMBER(SEARCH("ProductID",INDEX(tblTrans[ProductID],37)))),"",INDEX(tblTrans[Date],37)),"")</f>
        <v/>
      </c>
      <c r="B38" t="str">
        <f>IFERROR(IF(OR(INDEX(tblTrans[ProductID],37)="",ISNUMBER(SEARCH("ProductID",INDEX(tblTrans[ProductID],37)))),"",INDEX(tblTrans[ProductID],37)),"")</f>
        <v/>
      </c>
      <c r="C38" t="str">
        <f>IFERROR(IF(OR(INDEX(tblTrans[ProductID],37)="",ISNUMBER(SEARCH("ProductID",INDEX(tblTrans[ProductID],37)))),"",INDEX(tblTrans[Location],37)),"")</f>
        <v/>
      </c>
      <c r="D38" t="str">
        <f>IFERROR(IF(OR(INDEX(tblTrans[ProductID],37)="",ISNUMBER(SEARCH("ProductID",INDEX(tblTrans[ProductID],37)))),"",INDEX(tblTrans[Quantity],37)),"")</f>
        <v/>
      </c>
      <c r="E38" t="str">
        <f>IFERROR(IF(OR(INDEX(tblTrans[ProductID],37)="",ISNUMBER(SEARCH("ProductID",INDEX(tblTrans[ProductID],37)))),"",INDEX(tblTrans[Type],37)),"")</f>
        <v/>
      </c>
      <c r="F38" t="str">
        <f>IFERROR(IF(OR(INDEX(tblTrans[ProductID],37)="",ISNUMBER(SEARCH("ProductID",INDEX(tblTrans[ProductID],37)))),"",_xlfn.XLOOKUP(B38,tblProducts[ProductID],tblProducts[ProductName],"")),"")</f>
        <v/>
      </c>
      <c r="G38" t="str">
        <f>IFERROR(IF(OR(INDEX(tblTrans[ProductID],37)="",ISNUMBER(SEARCH("ProductID",INDEX(tblTrans[ProductID],37)))),"",_xlfn.XLOOKUP(B38,tblProducts[ProductID],tblProducts[Category],"")),"")</f>
        <v/>
      </c>
      <c r="H38" t="str">
        <f>IFERROR(IF(OR(INDEX(tblTrans[ProductID],37)="",ISNUMBER(SEARCH("ProductID",INDEX(tblTrans[ProductID],37)))),"",_xlfn.XLOOKUP(B38,tblProducts[ProductID],tblProducts[Supplier],"")),"")</f>
        <v/>
      </c>
      <c r="I38" t="str">
        <f>IFERROR(IF(OR(INDEX(tblTrans[ProductID],37)="",ISNUMBER(SEARCH("ProductID",INDEX(tblTrans[ProductID],37)))),"",D38*_xlfn.XLOOKUP(B38,tblProducts[ProductID],tblProducts[UnitCost],0)),"")</f>
        <v/>
      </c>
    </row>
    <row r="39" spans="1:9" x14ac:dyDescent="0.3">
      <c r="A39" s="5" t="str">
        <f>IFERROR(IF(OR(INDEX(tblTrans[ProductID],38)="",ISNUMBER(SEARCH("ProductID",INDEX(tblTrans[ProductID],38)))),"",INDEX(tblTrans[Date],38)),"")</f>
        <v/>
      </c>
      <c r="B39" t="str">
        <f>IFERROR(IF(OR(INDEX(tblTrans[ProductID],38)="",ISNUMBER(SEARCH("ProductID",INDEX(tblTrans[ProductID],38)))),"",INDEX(tblTrans[ProductID],38)),"")</f>
        <v/>
      </c>
      <c r="C39" t="str">
        <f>IFERROR(IF(OR(INDEX(tblTrans[ProductID],38)="",ISNUMBER(SEARCH("ProductID",INDEX(tblTrans[ProductID],38)))),"",INDEX(tblTrans[Location],38)),"")</f>
        <v/>
      </c>
      <c r="D39" t="str">
        <f>IFERROR(IF(OR(INDEX(tblTrans[ProductID],38)="",ISNUMBER(SEARCH("ProductID",INDEX(tblTrans[ProductID],38)))),"",INDEX(tblTrans[Quantity],38)),"")</f>
        <v/>
      </c>
      <c r="E39" t="str">
        <f>IFERROR(IF(OR(INDEX(tblTrans[ProductID],38)="",ISNUMBER(SEARCH("ProductID",INDEX(tblTrans[ProductID],38)))),"",INDEX(tblTrans[Type],38)),"")</f>
        <v/>
      </c>
      <c r="F39" t="str">
        <f>IFERROR(IF(OR(INDEX(tblTrans[ProductID],38)="",ISNUMBER(SEARCH("ProductID",INDEX(tblTrans[ProductID],38)))),"",_xlfn.XLOOKUP(B39,tblProducts[ProductID],tblProducts[ProductName],"")),"")</f>
        <v/>
      </c>
      <c r="G39" t="str">
        <f>IFERROR(IF(OR(INDEX(tblTrans[ProductID],38)="",ISNUMBER(SEARCH("ProductID",INDEX(tblTrans[ProductID],38)))),"",_xlfn.XLOOKUP(B39,tblProducts[ProductID],tblProducts[Category],"")),"")</f>
        <v/>
      </c>
      <c r="H39" t="str">
        <f>IFERROR(IF(OR(INDEX(tblTrans[ProductID],38)="",ISNUMBER(SEARCH("ProductID",INDEX(tblTrans[ProductID],38)))),"",_xlfn.XLOOKUP(B39,tblProducts[ProductID],tblProducts[Supplier],"")),"")</f>
        <v/>
      </c>
      <c r="I39" t="str">
        <f>IFERROR(IF(OR(INDEX(tblTrans[ProductID],38)="",ISNUMBER(SEARCH("ProductID",INDEX(tblTrans[ProductID],38)))),"",D39*_xlfn.XLOOKUP(B39,tblProducts[ProductID],tblProducts[UnitCost],0)),"")</f>
        <v/>
      </c>
    </row>
    <row r="40" spans="1:9" x14ac:dyDescent="0.3">
      <c r="A40" s="5" t="str">
        <f>IFERROR(IF(OR(INDEX(tblTrans[ProductID],39)="",ISNUMBER(SEARCH("ProductID",INDEX(tblTrans[ProductID],39)))),"",INDEX(tblTrans[Date],39)),"")</f>
        <v/>
      </c>
      <c r="B40" t="str">
        <f>IFERROR(IF(OR(INDEX(tblTrans[ProductID],39)="",ISNUMBER(SEARCH("ProductID",INDEX(tblTrans[ProductID],39)))),"",INDEX(tblTrans[ProductID],39)),"")</f>
        <v/>
      </c>
      <c r="C40" t="str">
        <f>IFERROR(IF(OR(INDEX(tblTrans[ProductID],39)="",ISNUMBER(SEARCH("ProductID",INDEX(tblTrans[ProductID],39)))),"",INDEX(tblTrans[Location],39)),"")</f>
        <v/>
      </c>
      <c r="D40" t="str">
        <f>IFERROR(IF(OR(INDEX(tblTrans[ProductID],39)="",ISNUMBER(SEARCH("ProductID",INDEX(tblTrans[ProductID],39)))),"",INDEX(tblTrans[Quantity],39)),"")</f>
        <v/>
      </c>
      <c r="E40" t="str">
        <f>IFERROR(IF(OR(INDEX(tblTrans[ProductID],39)="",ISNUMBER(SEARCH("ProductID",INDEX(tblTrans[ProductID],39)))),"",INDEX(tblTrans[Type],39)),"")</f>
        <v/>
      </c>
      <c r="F40" t="str">
        <f>IFERROR(IF(OR(INDEX(tblTrans[ProductID],39)="",ISNUMBER(SEARCH("ProductID",INDEX(tblTrans[ProductID],39)))),"",_xlfn.XLOOKUP(B40,tblProducts[ProductID],tblProducts[ProductName],"")),"")</f>
        <v/>
      </c>
      <c r="G40" t="str">
        <f>IFERROR(IF(OR(INDEX(tblTrans[ProductID],39)="",ISNUMBER(SEARCH("ProductID",INDEX(tblTrans[ProductID],39)))),"",_xlfn.XLOOKUP(B40,tblProducts[ProductID],tblProducts[Category],"")),"")</f>
        <v/>
      </c>
      <c r="H40" t="str">
        <f>IFERROR(IF(OR(INDEX(tblTrans[ProductID],39)="",ISNUMBER(SEARCH("ProductID",INDEX(tblTrans[ProductID],39)))),"",_xlfn.XLOOKUP(B40,tblProducts[ProductID],tblProducts[Supplier],"")),"")</f>
        <v/>
      </c>
      <c r="I40" t="str">
        <f>IFERROR(IF(OR(INDEX(tblTrans[ProductID],39)="",ISNUMBER(SEARCH("ProductID",INDEX(tblTrans[ProductID],39)))),"",D40*_xlfn.XLOOKUP(B40,tblProducts[ProductID],tblProducts[UnitCost],0)),"")</f>
        <v/>
      </c>
    </row>
    <row r="41" spans="1:9" x14ac:dyDescent="0.3">
      <c r="A41" s="5" t="str">
        <f>IFERROR(IF(OR(INDEX(tblTrans[ProductID],40)="",ISNUMBER(SEARCH("ProductID",INDEX(tblTrans[ProductID],40)))),"",INDEX(tblTrans[Date],40)),"")</f>
        <v/>
      </c>
      <c r="B41" t="str">
        <f>IFERROR(IF(OR(INDEX(tblTrans[ProductID],40)="",ISNUMBER(SEARCH("ProductID",INDEX(tblTrans[ProductID],40)))),"",INDEX(tblTrans[ProductID],40)),"")</f>
        <v/>
      </c>
      <c r="C41" t="str">
        <f>IFERROR(IF(OR(INDEX(tblTrans[ProductID],40)="",ISNUMBER(SEARCH("ProductID",INDEX(tblTrans[ProductID],40)))),"",INDEX(tblTrans[Location],40)),"")</f>
        <v/>
      </c>
      <c r="D41" t="str">
        <f>IFERROR(IF(OR(INDEX(tblTrans[ProductID],40)="",ISNUMBER(SEARCH("ProductID",INDEX(tblTrans[ProductID],40)))),"",INDEX(tblTrans[Quantity],40)),"")</f>
        <v/>
      </c>
      <c r="E41" t="str">
        <f>IFERROR(IF(OR(INDEX(tblTrans[ProductID],40)="",ISNUMBER(SEARCH("ProductID",INDEX(tblTrans[ProductID],40)))),"",INDEX(tblTrans[Type],40)),"")</f>
        <v/>
      </c>
      <c r="F41" t="str">
        <f>IFERROR(IF(OR(INDEX(tblTrans[ProductID],40)="",ISNUMBER(SEARCH("ProductID",INDEX(tblTrans[ProductID],40)))),"",_xlfn.XLOOKUP(B41,tblProducts[ProductID],tblProducts[ProductName],"")),"")</f>
        <v/>
      </c>
      <c r="G41" t="str">
        <f>IFERROR(IF(OR(INDEX(tblTrans[ProductID],40)="",ISNUMBER(SEARCH("ProductID",INDEX(tblTrans[ProductID],40)))),"",_xlfn.XLOOKUP(B41,tblProducts[ProductID],tblProducts[Category],"")),"")</f>
        <v/>
      </c>
      <c r="H41" t="str">
        <f>IFERROR(IF(OR(INDEX(tblTrans[ProductID],40)="",ISNUMBER(SEARCH("ProductID",INDEX(tblTrans[ProductID],40)))),"",_xlfn.XLOOKUP(B41,tblProducts[ProductID],tblProducts[Supplier],"")),"")</f>
        <v/>
      </c>
      <c r="I41" t="str">
        <f>IFERROR(IF(OR(INDEX(tblTrans[ProductID],40)="",ISNUMBER(SEARCH("ProductID",INDEX(tblTrans[ProductID],40)))),"",D41*_xlfn.XLOOKUP(B41,tblProducts[ProductID],tblProducts[UnitCost],0)),"")</f>
        <v/>
      </c>
    </row>
    <row r="42" spans="1:9" x14ac:dyDescent="0.3">
      <c r="A42" s="5" t="str">
        <f>IFERROR(IF(OR(INDEX(tblTrans[ProductID],41)="",ISNUMBER(SEARCH("ProductID",INDEX(tblTrans[ProductID],41)))),"",INDEX(tblTrans[Date],41)),"")</f>
        <v/>
      </c>
      <c r="B42" t="str">
        <f>IFERROR(IF(OR(INDEX(tblTrans[ProductID],41)="",ISNUMBER(SEARCH("ProductID",INDEX(tblTrans[ProductID],41)))),"",INDEX(tblTrans[ProductID],41)),"")</f>
        <v/>
      </c>
      <c r="C42" t="str">
        <f>IFERROR(IF(OR(INDEX(tblTrans[ProductID],41)="",ISNUMBER(SEARCH("ProductID",INDEX(tblTrans[ProductID],41)))),"",INDEX(tblTrans[Location],41)),"")</f>
        <v/>
      </c>
      <c r="D42" t="str">
        <f>IFERROR(IF(OR(INDEX(tblTrans[ProductID],41)="",ISNUMBER(SEARCH("ProductID",INDEX(tblTrans[ProductID],41)))),"",INDEX(tblTrans[Quantity],41)),"")</f>
        <v/>
      </c>
      <c r="E42" t="str">
        <f>IFERROR(IF(OR(INDEX(tblTrans[ProductID],41)="",ISNUMBER(SEARCH("ProductID",INDEX(tblTrans[ProductID],41)))),"",INDEX(tblTrans[Type],41)),"")</f>
        <v/>
      </c>
      <c r="F42" t="str">
        <f>IFERROR(IF(OR(INDEX(tblTrans[ProductID],41)="",ISNUMBER(SEARCH("ProductID",INDEX(tblTrans[ProductID],41)))),"",_xlfn.XLOOKUP(B42,tblProducts[ProductID],tblProducts[ProductName],"")),"")</f>
        <v/>
      </c>
      <c r="G42" t="str">
        <f>IFERROR(IF(OR(INDEX(tblTrans[ProductID],41)="",ISNUMBER(SEARCH("ProductID",INDEX(tblTrans[ProductID],41)))),"",_xlfn.XLOOKUP(B42,tblProducts[ProductID],tblProducts[Category],"")),"")</f>
        <v/>
      </c>
      <c r="H42" t="str">
        <f>IFERROR(IF(OR(INDEX(tblTrans[ProductID],41)="",ISNUMBER(SEARCH("ProductID",INDEX(tblTrans[ProductID],41)))),"",_xlfn.XLOOKUP(B42,tblProducts[ProductID],tblProducts[Supplier],"")),"")</f>
        <v/>
      </c>
      <c r="I42" t="str">
        <f>IFERROR(IF(OR(INDEX(tblTrans[ProductID],41)="",ISNUMBER(SEARCH("ProductID",INDEX(tblTrans[ProductID],41)))),"",D42*_xlfn.XLOOKUP(B42,tblProducts[ProductID],tblProducts[UnitCost],0)),"")</f>
        <v/>
      </c>
    </row>
    <row r="43" spans="1:9" x14ac:dyDescent="0.3">
      <c r="A43" s="5" t="str">
        <f>IFERROR(IF(OR(INDEX(tblTrans[ProductID],42)="",ISNUMBER(SEARCH("ProductID",INDEX(tblTrans[ProductID],42)))),"",INDEX(tblTrans[Date],42)),"")</f>
        <v/>
      </c>
      <c r="B43" t="str">
        <f>IFERROR(IF(OR(INDEX(tblTrans[ProductID],42)="",ISNUMBER(SEARCH("ProductID",INDEX(tblTrans[ProductID],42)))),"",INDEX(tblTrans[ProductID],42)),"")</f>
        <v/>
      </c>
      <c r="C43" t="str">
        <f>IFERROR(IF(OR(INDEX(tblTrans[ProductID],42)="",ISNUMBER(SEARCH("ProductID",INDEX(tblTrans[ProductID],42)))),"",INDEX(tblTrans[Location],42)),"")</f>
        <v/>
      </c>
      <c r="D43" t="str">
        <f>IFERROR(IF(OR(INDEX(tblTrans[ProductID],42)="",ISNUMBER(SEARCH("ProductID",INDEX(tblTrans[ProductID],42)))),"",INDEX(tblTrans[Quantity],42)),"")</f>
        <v/>
      </c>
      <c r="E43" t="str">
        <f>IFERROR(IF(OR(INDEX(tblTrans[ProductID],42)="",ISNUMBER(SEARCH("ProductID",INDEX(tblTrans[ProductID],42)))),"",INDEX(tblTrans[Type],42)),"")</f>
        <v/>
      </c>
      <c r="F43" t="str">
        <f>IFERROR(IF(OR(INDEX(tblTrans[ProductID],42)="",ISNUMBER(SEARCH("ProductID",INDEX(tblTrans[ProductID],42)))),"",_xlfn.XLOOKUP(B43,tblProducts[ProductID],tblProducts[ProductName],"")),"")</f>
        <v/>
      </c>
      <c r="G43" t="str">
        <f>IFERROR(IF(OR(INDEX(tblTrans[ProductID],42)="",ISNUMBER(SEARCH("ProductID",INDEX(tblTrans[ProductID],42)))),"",_xlfn.XLOOKUP(B43,tblProducts[ProductID],tblProducts[Category],"")),"")</f>
        <v/>
      </c>
      <c r="H43" t="str">
        <f>IFERROR(IF(OR(INDEX(tblTrans[ProductID],42)="",ISNUMBER(SEARCH("ProductID",INDEX(tblTrans[ProductID],42)))),"",_xlfn.XLOOKUP(B43,tblProducts[ProductID],tblProducts[Supplier],"")),"")</f>
        <v/>
      </c>
      <c r="I43" t="str">
        <f>IFERROR(IF(OR(INDEX(tblTrans[ProductID],42)="",ISNUMBER(SEARCH("ProductID",INDEX(tblTrans[ProductID],42)))),"",D43*_xlfn.XLOOKUP(B43,tblProducts[ProductID],tblProducts[UnitCost],0)),"")</f>
        <v/>
      </c>
    </row>
    <row r="44" spans="1:9" x14ac:dyDescent="0.3">
      <c r="A44" s="5" t="str">
        <f>IFERROR(IF(OR(INDEX(tblTrans[ProductID],43)="",ISNUMBER(SEARCH("ProductID",INDEX(tblTrans[ProductID],43)))),"",INDEX(tblTrans[Date],43)),"")</f>
        <v/>
      </c>
      <c r="B44" t="str">
        <f>IFERROR(IF(OR(INDEX(tblTrans[ProductID],43)="",ISNUMBER(SEARCH("ProductID",INDEX(tblTrans[ProductID],43)))),"",INDEX(tblTrans[ProductID],43)),"")</f>
        <v/>
      </c>
      <c r="C44" t="str">
        <f>IFERROR(IF(OR(INDEX(tblTrans[ProductID],43)="",ISNUMBER(SEARCH("ProductID",INDEX(tblTrans[ProductID],43)))),"",INDEX(tblTrans[Location],43)),"")</f>
        <v/>
      </c>
      <c r="D44" t="str">
        <f>IFERROR(IF(OR(INDEX(tblTrans[ProductID],43)="",ISNUMBER(SEARCH("ProductID",INDEX(tblTrans[ProductID],43)))),"",INDEX(tblTrans[Quantity],43)),"")</f>
        <v/>
      </c>
      <c r="E44" t="str">
        <f>IFERROR(IF(OR(INDEX(tblTrans[ProductID],43)="",ISNUMBER(SEARCH("ProductID",INDEX(tblTrans[ProductID],43)))),"",INDEX(tblTrans[Type],43)),"")</f>
        <v/>
      </c>
      <c r="F44" t="str">
        <f>IFERROR(IF(OR(INDEX(tblTrans[ProductID],43)="",ISNUMBER(SEARCH("ProductID",INDEX(tblTrans[ProductID],43)))),"",_xlfn.XLOOKUP(B44,tblProducts[ProductID],tblProducts[ProductName],"")),"")</f>
        <v/>
      </c>
      <c r="G44" t="str">
        <f>IFERROR(IF(OR(INDEX(tblTrans[ProductID],43)="",ISNUMBER(SEARCH("ProductID",INDEX(tblTrans[ProductID],43)))),"",_xlfn.XLOOKUP(B44,tblProducts[ProductID],tblProducts[Category],"")),"")</f>
        <v/>
      </c>
      <c r="H44" t="str">
        <f>IFERROR(IF(OR(INDEX(tblTrans[ProductID],43)="",ISNUMBER(SEARCH("ProductID",INDEX(tblTrans[ProductID],43)))),"",_xlfn.XLOOKUP(B44,tblProducts[ProductID],tblProducts[Supplier],"")),"")</f>
        <v/>
      </c>
      <c r="I44" t="str">
        <f>IFERROR(IF(OR(INDEX(tblTrans[ProductID],43)="",ISNUMBER(SEARCH("ProductID",INDEX(tblTrans[ProductID],43)))),"",D44*_xlfn.XLOOKUP(B44,tblProducts[ProductID],tblProducts[UnitCost],0)),"")</f>
        <v/>
      </c>
    </row>
    <row r="45" spans="1:9" x14ac:dyDescent="0.3">
      <c r="A45" s="5" t="str">
        <f>IFERROR(IF(OR(INDEX(tblTrans[ProductID],44)="",ISNUMBER(SEARCH("ProductID",INDEX(tblTrans[ProductID],44)))),"",INDEX(tblTrans[Date],44)),"")</f>
        <v/>
      </c>
      <c r="B45" t="str">
        <f>IFERROR(IF(OR(INDEX(tblTrans[ProductID],44)="",ISNUMBER(SEARCH("ProductID",INDEX(tblTrans[ProductID],44)))),"",INDEX(tblTrans[ProductID],44)),"")</f>
        <v/>
      </c>
      <c r="C45" t="str">
        <f>IFERROR(IF(OR(INDEX(tblTrans[ProductID],44)="",ISNUMBER(SEARCH("ProductID",INDEX(tblTrans[ProductID],44)))),"",INDEX(tblTrans[Location],44)),"")</f>
        <v/>
      </c>
      <c r="D45" t="str">
        <f>IFERROR(IF(OR(INDEX(tblTrans[ProductID],44)="",ISNUMBER(SEARCH("ProductID",INDEX(tblTrans[ProductID],44)))),"",INDEX(tblTrans[Quantity],44)),"")</f>
        <v/>
      </c>
      <c r="E45" t="str">
        <f>IFERROR(IF(OR(INDEX(tblTrans[ProductID],44)="",ISNUMBER(SEARCH("ProductID",INDEX(tblTrans[ProductID],44)))),"",INDEX(tblTrans[Type],44)),"")</f>
        <v/>
      </c>
      <c r="F45" t="str">
        <f>IFERROR(IF(OR(INDEX(tblTrans[ProductID],44)="",ISNUMBER(SEARCH("ProductID",INDEX(tblTrans[ProductID],44)))),"",_xlfn.XLOOKUP(B45,tblProducts[ProductID],tblProducts[ProductName],"")),"")</f>
        <v/>
      </c>
      <c r="G45" t="str">
        <f>IFERROR(IF(OR(INDEX(tblTrans[ProductID],44)="",ISNUMBER(SEARCH("ProductID",INDEX(tblTrans[ProductID],44)))),"",_xlfn.XLOOKUP(B45,tblProducts[ProductID],tblProducts[Category],"")),"")</f>
        <v/>
      </c>
      <c r="H45" t="str">
        <f>IFERROR(IF(OR(INDEX(tblTrans[ProductID],44)="",ISNUMBER(SEARCH("ProductID",INDEX(tblTrans[ProductID],44)))),"",_xlfn.XLOOKUP(B45,tblProducts[ProductID],tblProducts[Supplier],"")),"")</f>
        <v/>
      </c>
      <c r="I45" t="str">
        <f>IFERROR(IF(OR(INDEX(tblTrans[ProductID],44)="",ISNUMBER(SEARCH("ProductID",INDEX(tblTrans[ProductID],44)))),"",D45*_xlfn.XLOOKUP(B45,tblProducts[ProductID],tblProducts[UnitCost],0)),"")</f>
        <v/>
      </c>
    </row>
    <row r="46" spans="1:9" x14ac:dyDescent="0.3">
      <c r="A46" s="5" t="str">
        <f>IFERROR(IF(OR(INDEX(tblTrans[ProductID],45)="",ISNUMBER(SEARCH("ProductID",INDEX(tblTrans[ProductID],45)))),"",INDEX(tblTrans[Date],45)),"")</f>
        <v/>
      </c>
      <c r="B46" t="str">
        <f>IFERROR(IF(OR(INDEX(tblTrans[ProductID],45)="",ISNUMBER(SEARCH("ProductID",INDEX(tblTrans[ProductID],45)))),"",INDEX(tblTrans[ProductID],45)),"")</f>
        <v/>
      </c>
      <c r="C46" t="str">
        <f>IFERROR(IF(OR(INDEX(tblTrans[ProductID],45)="",ISNUMBER(SEARCH("ProductID",INDEX(tblTrans[ProductID],45)))),"",INDEX(tblTrans[Location],45)),"")</f>
        <v/>
      </c>
      <c r="D46" t="str">
        <f>IFERROR(IF(OR(INDEX(tblTrans[ProductID],45)="",ISNUMBER(SEARCH("ProductID",INDEX(tblTrans[ProductID],45)))),"",INDEX(tblTrans[Quantity],45)),"")</f>
        <v/>
      </c>
      <c r="E46" t="str">
        <f>IFERROR(IF(OR(INDEX(tblTrans[ProductID],45)="",ISNUMBER(SEARCH("ProductID",INDEX(tblTrans[ProductID],45)))),"",INDEX(tblTrans[Type],45)),"")</f>
        <v/>
      </c>
      <c r="F46" t="str">
        <f>IFERROR(IF(OR(INDEX(tblTrans[ProductID],45)="",ISNUMBER(SEARCH("ProductID",INDEX(tblTrans[ProductID],45)))),"",_xlfn.XLOOKUP(B46,tblProducts[ProductID],tblProducts[ProductName],"")),"")</f>
        <v/>
      </c>
      <c r="G46" t="str">
        <f>IFERROR(IF(OR(INDEX(tblTrans[ProductID],45)="",ISNUMBER(SEARCH("ProductID",INDEX(tblTrans[ProductID],45)))),"",_xlfn.XLOOKUP(B46,tblProducts[ProductID],tblProducts[Category],"")),"")</f>
        <v/>
      </c>
      <c r="H46" t="str">
        <f>IFERROR(IF(OR(INDEX(tblTrans[ProductID],45)="",ISNUMBER(SEARCH("ProductID",INDEX(tblTrans[ProductID],45)))),"",_xlfn.XLOOKUP(B46,tblProducts[ProductID],tblProducts[Supplier],"")),"")</f>
        <v/>
      </c>
      <c r="I46" t="str">
        <f>IFERROR(IF(OR(INDEX(tblTrans[ProductID],45)="",ISNUMBER(SEARCH("ProductID",INDEX(tblTrans[ProductID],45)))),"",D46*_xlfn.XLOOKUP(B46,tblProducts[ProductID],tblProducts[UnitCost],0)),"")</f>
        <v/>
      </c>
    </row>
    <row r="47" spans="1:9" x14ac:dyDescent="0.3">
      <c r="A47" s="5" t="str">
        <f>IFERROR(IF(OR(INDEX(tblTrans[ProductID],46)="",ISNUMBER(SEARCH("ProductID",INDEX(tblTrans[ProductID],46)))),"",INDEX(tblTrans[Date],46)),"")</f>
        <v/>
      </c>
      <c r="B47" t="str">
        <f>IFERROR(IF(OR(INDEX(tblTrans[ProductID],46)="",ISNUMBER(SEARCH("ProductID",INDEX(tblTrans[ProductID],46)))),"",INDEX(tblTrans[ProductID],46)),"")</f>
        <v/>
      </c>
      <c r="C47" t="str">
        <f>IFERROR(IF(OR(INDEX(tblTrans[ProductID],46)="",ISNUMBER(SEARCH("ProductID",INDEX(tblTrans[ProductID],46)))),"",INDEX(tblTrans[Location],46)),"")</f>
        <v/>
      </c>
      <c r="D47" t="str">
        <f>IFERROR(IF(OR(INDEX(tblTrans[ProductID],46)="",ISNUMBER(SEARCH("ProductID",INDEX(tblTrans[ProductID],46)))),"",INDEX(tblTrans[Quantity],46)),"")</f>
        <v/>
      </c>
      <c r="E47" t="str">
        <f>IFERROR(IF(OR(INDEX(tblTrans[ProductID],46)="",ISNUMBER(SEARCH("ProductID",INDEX(tblTrans[ProductID],46)))),"",INDEX(tblTrans[Type],46)),"")</f>
        <v/>
      </c>
      <c r="F47" t="str">
        <f>IFERROR(IF(OR(INDEX(tblTrans[ProductID],46)="",ISNUMBER(SEARCH("ProductID",INDEX(tblTrans[ProductID],46)))),"",_xlfn.XLOOKUP(B47,tblProducts[ProductID],tblProducts[ProductName],"")),"")</f>
        <v/>
      </c>
      <c r="G47" t="str">
        <f>IFERROR(IF(OR(INDEX(tblTrans[ProductID],46)="",ISNUMBER(SEARCH("ProductID",INDEX(tblTrans[ProductID],46)))),"",_xlfn.XLOOKUP(B47,tblProducts[ProductID],tblProducts[Category],"")),"")</f>
        <v/>
      </c>
      <c r="H47" t="str">
        <f>IFERROR(IF(OR(INDEX(tblTrans[ProductID],46)="",ISNUMBER(SEARCH("ProductID",INDEX(tblTrans[ProductID],46)))),"",_xlfn.XLOOKUP(B47,tblProducts[ProductID],tblProducts[Supplier],"")),"")</f>
        <v/>
      </c>
      <c r="I47" t="str">
        <f>IFERROR(IF(OR(INDEX(tblTrans[ProductID],46)="",ISNUMBER(SEARCH("ProductID",INDEX(tblTrans[ProductID],46)))),"",D47*_xlfn.XLOOKUP(B47,tblProducts[ProductID],tblProducts[UnitCost],0)),"")</f>
        <v/>
      </c>
    </row>
    <row r="48" spans="1:9" x14ac:dyDescent="0.3">
      <c r="A48" s="5" t="str">
        <f>IFERROR(IF(OR(INDEX(tblTrans[ProductID],47)="",ISNUMBER(SEARCH("ProductID",INDEX(tblTrans[ProductID],47)))),"",INDEX(tblTrans[Date],47)),"")</f>
        <v/>
      </c>
      <c r="B48" t="str">
        <f>IFERROR(IF(OR(INDEX(tblTrans[ProductID],47)="",ISNUMBER(SEARCH("ProductID",INDEX(tblTrans[ProductID],47)))),"",INDEX(tblTrans[ProductID],47)),"")</f>
        <v/>
      </c>
      <c r="C48" t="str">
        <f>IFERROR(IF(OR(INDEX(tblTrans[ProductID],47)="",ISNUMBER(SEARCH("ProductID",INDEX(tblTrans[ProductID],47)))),"",INDEX(tblTrans[Location],47)),"")</f>
        <v/>
      </c>
      <c r="D48" t="str">
        <f>IFERROR(IF(OR(INDEX(tblTrans[ProductID],47)="",ISNUMBER(SEARCH("ProductID",INDEX(tblTrans[ProductID],47)))),"",INDEX(tblTrans[Quantity],47)),"")</f>
        <v/>
      </c>
      <c r="E48" t="str">
        <f>IFERROR(IF(OR(INDEX(tblTrans[ProductID],47)="",ISNUMBER(SEARCH("ProductID",INDEX(tblTrans[ProductID],47)))),"",INDEX(tblTrans[Type],47)),"")</f>
        <v/>
      </c>
      <c r="F48" t="str">
        <f>IFERROR(IF(OR(INDEX(tblTrans[ProductID],47)="",ISNUMBER(SEARCH("ProductID",INDEX(tblTrans[ProductID],47)))),"",_xlfn.XLOOKUP(B48,tblProducts[ProductID],tblProducts[ProductName],"")),"")</f>
        <v/>
      </c>
      <c r="G48" t="str">
        <f>IFERROR(IF(OR(INDEX(tblTrans[ProductID],47)="",ISNUMBER(SEARCH("ProductID",INDEX(tblTrans[ProductID],47)))),"",_xlfn.XLOOKUP(B48,tblProducts[ProductID],tblProducts[Category],"")),"")</f>
        <v/>
      </c>
      <c r="H48" t="str">
        <f>IFERROR(IF(OR(INDEX(tblTrans[ProductID],47)="",ISNUMBER(SEARCH("ProductID",INDEX(tblTrans[ProductID],47)))),"",_xlfn.XLOOKUP(B48,tblProducts[ProductID],tblProducts[Supplier],"")),"")</f>
        <v/>
      </c>
      <c r="I48" t="str">
        <f>IFERROR(IF(OR(INDEX(tblTrans[ProductID],47)="",ISNUMBER(SEARCH("ProductID",INDEX(tblTrans[ProductID],47)))),"",D48*_xlfn.XLOOKUP(B48,tblProducts[ProductID],tblProducts[UnitCost],0)),"")</f>
        <v/>
      </c>
    </row>
    <row r="49" spans="1:9" x14ac:dyDescent="0.3">
      <c r="A49" s="5" t="str">
        <f>IFERROR(IF(OR(INDEX(tblTrans[ProductID],48)="",ISNUMBER(SEARCH("ProductID",INDEX(tblTrans[ProductID],48)))),"",INDEX(tblTrans[Date],48)),"")</f>
        <v/>
      </c>
      <c r="B49" t="str">
        <f>IFERROR(IF(OR(INDEX(tblTrans[ProductID],48)="",ISNUMBER(SEARCH("ProductID",INDEX(tblTrans[ProductID],48)))),"",INDEX(tblTrans[ProductID],48)),"")</f>
        <v/>
      </c>
      <c r="C49" t="str">
        <f>IFERROR(IF(OR(INDEX(tblTrans[ProductID],48)="",ISNUMBER(SEARCH("ProductID",INDEX(tblTrans[ProductID],48)))),"",INDEX(tblTrans[Location],48)),"")</f>
        <v/>
      </c>
      <c r="D49" t="str">
        <f>IFERROR(IF(OR(INDEX(tblTrans[ProductID],48)="",ISNUMBER(SEARCH("ProductID",INDEX(tblTrans[ProductID],48)))),"",INDEX(tblTrans[Quantity],48)),"")</f>
        <v/>
      </c>
      <c r="E49" t="str">
        <f>IFERROR(IF(OR(INDEX(tblTrans[ProductID],48)="",ISNUMBER(SEARCH("ProductID",INDEX(tblTrans[ProductID],48)))),"",INDEX(tblTrans[Type],48)),"")</f>
        <v/>
      </c>
      <c r="F49" t="str">
        <f>IFERROR(IF(OR(INDEX(tblTrans[ProductID],48)="",ISNUMBER(SEARCH("ProductID",INDEX(tblTrans[ProductID],48)))),"",_xlfn.XLOOKUP(B49,tblProducts[ProductID],tblProducts[ProductName],"")),"")</f>
        <v/>
      </c>
      <c r="G49" t="str">
        <f>IFERROR(IF(OR(INDEX(tblTrans[ProductID],48)="",ISNUMBER(SEARCH("ProductID",INDEX(tblTrans[ProductID],48)))),"",_xlfn.XLOOKUP(B49,tblProducts[ProductID],tblProducts[Category],"")),"")</f>
        <v/>
      </c>
      <c r="H49" t="str">
        <f>IFERROR(IF(OR(INDEX(tblTrans[ProductID],48)="",ISNUMBER(SEARCH("ProductID",INDEX(tblTrans[ProductID],48)))),"",_xlfn.XLOOKUP(B49,tblProducts[ProductID],tblProducts[Supplier],"")),"")</f>
        <v/>
      </c>
      <c r="I49" t="str">
        <f>IFERROR(IF(OR(INDEX(tblTrans[ProductID],48)="",ISNUMBER(SEARCH("ProductID",INDEX(tblTrans[ProductID],48)))),"",D49*_xlfn.XLOOKUP(B49,tblProducts[ProductID],tblProducts[UnitCost],0)),"")</f>
        <v/>
      </c>
    </row>
    <row r="50" spans="1:9" x14ac:dyDescent="0.3">
      <c r="A50" s="5" t="str">
        <f>IFERROR(IF(OR(INDEX(tblTrans[ProductID],49)="",ISNUMBER(SEARCH("ProductID",INDEX(tblTrans[ProductID],49)))),"",INDEX(tblTrans[Date],49)),"")</f>
        <v/>
      </c>
      <c r="B50" t="str">
        <f>IFERROR(IF(OR(INDEX(tblTrans[ProductID],49)="",ISNUMBER(SEARCH("ProductID",INDEX(tblTrans[ProductID],49)))),"",INDEX(tblTrans[ProductID],49)),"")</f>
        <v/>
      </c>
      <c r="C50" t="str">
        <f>IFERROR(IF(OR(INDEX(tblTrans[ProductID],49)="",ISNUMBER(SEARCH("ProductID",INDEX(tblTrans[ProductID],49)))),"",INDEX(tblTrans[Location],49)),"")</f>
        <v/>
      </c>
      <c r="D50" t="str">
        <f>IFERROR(IF(OR(INDEX(tblTrans[ProductID],49)="",ISNUMBER(SEARCH("ProductID",INDEX(tblTrans[ProductID],49)))),"",INDEX(tblTrans[Quantity],49)),"")</f>
        <v/>
      </c>
      <c r="E50" t="str">
        <f>IFERROR(IF(OR(INDEX(tblTrans[ProductID],49)="",ISNUMBER(SEARCH("ProductID",INDEX(tblTrans[ProductID],49)))),"",INDEX(tblTrans[Type],49)),"")</f>
        <v/>
      </c>
      <c r="F50" t="str">
        <f>IFERROR(IF(OR(INDEX(tblTrans[ProductID],49)="",ISNUMBER(SEARCH("ProductID",INDEX(tblTrans[ProductID],49)))),"",_xlfn.XLOOKUP(B50,tblProducts[ProductID],tblProducts[ProductName],"")),"")</f>
        <v/>
      </c>
      <c r="G50" t="str">
        <f>IFERROR(IF(OR(INDEX(tblTrans[ProductID],49)="",ISNUMBER(SEARCH("ProductID",INDEX(tblTrans[ProductID],49)))),"",_xlfn.XLOOKUP(B50,tblProducts[ProductID],tblProducts[Category],"")),"")</f>
        <v/>
      </c>
      <c r="H50" t="str">
        <f>IFERROR(IF(OR(INDEX(tblTrans[ProductID],49)="",ISNUMBER(SEARCH("ProductID",INDEX(tblTrans[ProductID],49)))),"",_xlfn.XLOOKUP(B50,tblProducts[ProductID],tblProducts[Supplier],"")),"")</f>
        <v/>
      </c>
      <c r="I50" t="str">
        <f>IFERROR(IF(OR(INDEX(tblTrans[ProductID],49)="",ISNUMBER(SEARCH("ProductID",INDEX(tblTrans[ProductID],49)))),"",D50*_xlfn.XLOOKUP(B50,tblProducts[ProductID],tblProducts[UnitCost],0)),"")</f>
        <v/>
      </c>
    </row>
    <row r="51" spans="1:9" x14ac:dyDescent="0.3">
      <c r="A51" s="5" t="str">
        <f>IFERROR(IF(OR(INDEX(tblTrans[ProductID],50)="",ISNUMBER(SEARCH("ProductID",INDEX(tblTrans[ProductID],50)))),"",INDEX(tblTrans[Date],50)),"")</f>
        <v/>
      </c>
      <c r="B51" t="str">
        <f>IFERROR(IF(OR(INDEX(tblTrans[ProductID],50)="",ISNUMBER(SEARCH("ProductID",INDEX(tblTrans[ProductID],50)))),"",INDEX(tblTrans[ProductID],50)),"")</f>
        <v/>
      </c>
      <c r="C51" t="str">
        <f>IFERROR(IF(OR(INDEX(tblTrans[ProductID],50)="",ISNUMBER(SEARCH("ProductID",INDEX(tblTrans[ProductID],50)))),"",INDEX(tblTrans[Location],50)),"")</f>
        <v/>
      </c>
      <c r="D51" t="str">
        <f>IFERROR(IF(OR(INDEX(tblTrans[ProductID],50)="",ISNUMBER(SEARCH("ProductID",INDEX(tblTrans[ProductID],50)))),"",INDEX(tblTrans[Quantity],50)),"")</f>
        <v/>
      </c>
      <c r="E51" t="str">
        <f>IFERROR(IF(OR(INDEX(tblTrans[ProductID],50)="",ISNUMBER(SEARCH("ProductID",INDEX(tblTrans[ProductID],50)))),"",INDEX(tblTrans[Type],50)),"")</f>
        <v/>
      </c>
      <c r="F51" t="str">
        <f>IFERROR(IF(OR(INDEX(tblTrans[ProductID],50)="",ISNUMBER(SEARCH("ProductID",INDEX(tblTrans[ProductID],50)))),"",_xlfn.XLOOKUP(B51,tblProducts[ProductID],tblProducts[ProductName],"")),"")</f>
        <v/>
      </c>
      <c r="G51" t="str">
        <f>IFERROR(IF(OR(INDEX(tblTrans[ProductID],50)="",ISNUMBER(SEARCH("ProductID",INDEX(tblTrans[ProductID],50)))),"",_xlfn.XLOOKUP(B51,tblProducts[ProductID],tblProducts[Category],"")),"")</f>
        <v/>
      </c>
      <c r="H51" t="str">
        <f>IFERROR(IF(OR(INDEX(tblTrans[ProductID],50)="",ISNUMBER(SEARCH("ProductID",INDEX(tblTrans[ProductID],50)))),"",_xlfn.XLOOKUP(B51,tblProducts[ProductID],tblProducts[Supplier],"")),"")</f>
        <v/>
      </c>
      <c r="I51" t="str">
        <f>IFERROR(IF(OR(INDEX(tblTrans[ProductID],50)="",ISNUMBER(SEARCH("ProductID",INDEX(tblTrans[ProductID],50)))),"",D51*_xlfn.XLOOKUP(B51,tblProducts[ProductID],tblProducts[UnitCost],0)),"")</f>
        <v/>
      </c>
    </row>
    <row r="52" spans="1:9" x14ac:dyDescent="0.3">
      <c r="A52" s="5" t="str">
        <f>IFERROR(IF(OR(INDEX(tblTrans[ProductID],51)="",ISNUMBER(SEARCH("ProductID",INDEX(tblTrans[ProductID],51)))),"",INDEX(tblTrans[Date],51)),"")</f>
        <v/>
      </c>
      <c r="B52" t="str">
        <f>IFERROR(IF(OR(INDEX(tblTrans[ProductID],51)="",ISNUMBER(SEARCH("ProductID",INDEX(tblTrans[ProductID],51)))),"",INDEX(tblTrans[ProductID],51)),"")</f>
        <v/>
      </c>
      <c r="C52" t="str">
        <f>IFERROR(IF(OR(INDEX(tblTrans[ProductID],51)="",ISNUMBER(SEARCH("ProductID",INDEX(tblTrans[ProductID],51)))),"",INDEX(tblTrans[Location],51)),"")</f>
        <v/>
      </c>
      <c r="D52" t="str">
        <f>IFERROR(IF(OR(INDEX(tblTrans[ProductID],51)="",ISNUMBER(SEARCH("ProductID",INDEX(tblTrans[ProductID],51)))),"",INDEX(tblTrans[Quantity],51)),"")</f>
        <v/>
      </c>
      <c r="E52" t="str">
        <f>IFERROR(IF(OR(INDEX(tblTrans[ProductID],51)="",ISNUMBER(SEARCH("ProductID",INDEX(tblTrans[ProductID],51)))),"",INDEX(tblTrans[Type],51)),"")</f>
        <v/>
      </c>
      <c r="F52" t="str">
        <f>IFERROR(IF(OR(INDEX(tblTrans[ProductID],51)="",ISNUMBER(SEARCH("ProductID",INDEX(tblTrans[ProductID],51)))),"",_xlfn.XLOOKUP(B52,tblProducts[ProductID],tblProducts[ProductName],"")),"")</f>
        <v/>
      </c>
      <c r="G52" t="str">
        <f>IFERROR(IF(OR(INDEX(tblTrans[ProductID],51)="",ISNUMBER(SEARCH("ProductID",INDEX(tblTrans[ProductID],51)))),"",_xlfn.XLOOKUP(B52,tblProducts[ProductID],tblProducts[Category],"")),"")</f>
        <v/>
      </c>
      <c r="H52" t="str">
        <f>IFERROR(IF(OR(INDEX(tblTrans[ProductID],51)="",ISNUMBER(SEARCH("ProductID",INDEX(tblTrans[ProductID],51)))),"",_xlfn.XLOOKUP(B52,tblProducts[ProductID],tblProducts[Supplier],"")),"")</f>
        <v/>
      </c>
      <c r="I52" t="str">
        <f>IFERROR(IF(OR(INDEX(tblTrans[ProductID],51)="",ISNUMBER(SEARCH("ProductID",INDEX(tblTrans[ProductID],51)))),"",D52*_xlfn.XLOOKUP(B52,tblProducts[ProductID],tblProducts[UnitCost],0)),"")</f>
        <v/>
      </c>
    </row>
    <row r="53" spans="1:9" x14ac:dyDescent="0.3">
      <c r="A53" s="5" t="str">
        <f>IFERROR(IF(OR(INDEX(tblTrans[ProductID],52)="",ISNUMBER(SEARCH("ProductID",INDEX(tblTrans[ProductID],52)))),"",INDEX(tblTrans[Date],52)),"")</f>
        <v/>
      </c>
      <c r="B53" t="str">
        <f>IFERROR(IF(OR(INDEX(tblTrans[ProductID],52)="",ISNUMBER(SEARCH("ProductID",INDEX(tblTrans[ProductID],52)))),"",INDEX(tblTrans[ProductID],52)),"")</f>
        <v/>
      </c>
      <c r="C53" t="str">
        <f>IFERROR(IF(OR(INDEX(tblTrans[ProductID],52)="",ISNUMBER(SEARCH("ProductID",INDEX(tblTrans[ProductID],52)))),"",INDEX(tblTrans[Location],52)),"")</f>
        <v/>
      </c>
      <c r="D53" t="str">
        <f>IFERROR(IF(OR(INDEX(tblTrans[ProductID],52)="",ISNUMBER(SEARCH("ProductID",INDEX(tblTrans[ProductID],52)))),"",INDEX(tblTrans[Quantity],52)),"")</f>
        <v/>
      </c>
      <c r="E53" t="str">
        <f>IFERROR(IF(OR(INDEX(tblTrans[ProductID],52)="",ISNUMBER(SEARCH("ProductID",INDEX(tblTrans[ProductID],52)))),"",INDEX(tblTrans[Type],52)),"")</f>
        <v/>
      </c>
      <c r="F53" t="str">
        <f>IFERROR(IF(OR(INDEX(tblTrans[ProductID],52)="",ISNUMBER(SEARCH("ProductID",INDEX(tblTrans[ProductID],52)))),"",_xlfn.XLOOKUP(B53,tblProducts[ProductID],tblProducts[ProductName],"")),"")</f>
        <v/>
      </c>
      <c r="G53" t="str">
        <f>IFERROR(IF(OR(INDEX(tblTrans[ProductID],52)="",ISNUMBER(SEARCH("ProductID",INDEX(tblTrans[ProductID],52)))),"",_xlfn.XLOOKUP(B53,tblProducts[ProductID],tblProducts[Category],"")),"")</f>
        <v/>
      </c>
      <c r="H53" t="str">
        <f>IFERROR(IF(OR(INDEX(tblTrans[ProductID],52)="",ISNUMBER(SEARCH("ProductID",INDEX(tblTrans[ProductID],52)))),"",_xlfn.XLOOKUP(B53,tblProducts[ProductID],tblProducts[Supplier],"")),"")</f>
        <v/>
      </c>
      <c r="I53" t="str">
        <f>IFERROR(IF(OR(INDEX(tblTrans[ProductID],52)="",ISNUMBER(SEARCH("ProductID",INDEX(tblTrans[ProductID],52)))),"",D53*_xlfn.XLOOKUP(B53,tblProducts[ProductID],tblProducts[UnitCost],0)),"")</f>
        <v/>
      </c>
    </row>
    <row r="54" spans="1:9" x14ac:dyDescent="0.3">
      <c r="A54" s="5" t="str">
        <f>IFERROR(IF(OR(INDEX(tblTrans[ProductID],53)="",ISNUMBER(SEARCH("ProductID",INDEX(tblTrans[ProductID],53)))),"",INDEX(tblTrans[Date],53)),"")</f>
        <v/>
      </c>
      <c r="B54" t="str">
        <f>IFERROR(IF(OR(INDEX(tblTrans[ProductID],53)="",ISNUMBER(SEARCH("ProductID",INDEX(tblTrans[ProductID],53)))),"",INDEX(tblTrans[ProductID],53)),"")</f>
        <v/>
      </c>
      <c r="C54" t="str">
        <f>IFERROR(IF(OR(INDEX(tblTrans[ProductID],53)="",ISNUMBER(SEARCH("ProductID",INDEX(tblTrans[ProductID],53)))),"",INDEX(tblTrans[Location],53)),"")</f>
        <v/>
      </c>
      <c r="D54" t="str">
        <f>IFERROR(IF(OR(INDEX(tblTrans[ProductID],53)="",ISNUMBER(SEARCH("ProductID",INDEX(tblTrans[ProductID],53)))),"",INDEX(tblTrans[Quantity],53)),"")</f>
        <v/>
      </c>
      <c r="E54" t="str">
        <f>IFERROR(IF(OR(INDEX(tblTrans[ProductID],53)="",ISNUMBER(SEARCH("ProductID",INDEX(tblTrans[ProductID],53)))),"",INDEX(tblTrans[Type],53)),"")</f>
        <v/>
      </c>
      <c r="F54" t="str">
        <f>IFERROR(IF(OR(INDEX(tblTrans[ProductID],53)="",ISNUMBER(SEARCH("ProductID",INDEX(tblTrans[ProductID],53)))),"",_xlfn.XLOOKUP(B54,tblProducts[ProductID],tblProducts[ProductName],"")),"")</f>
        <v/>
      </c>
      <c r="G54" t="str">
        <f>IFERROR(IF(OR(INDEX(tblTrans[ProductID],53)="",ISNUMBER(SEARCH("ProductID",INDEX(tblTrans[ProductID],53)))),"",_xlfn.XLOOKUP(B54,tblProducts[ProductID],tblProducts[Category],"")),"")</f>
        <v/>
      </c>
      <c r="H54" t="str">
        <f>IFERROR(IF(OR(INDEX(tblTrans[ProductID],53)="",ISNUMBER(SEARCH("ProductID",INDEX(tblTrans[ProductID],53)))),"",_xlfn.XLOOKUP(B54,tblProducts[ProductID],tblProducts[Supplier],"")),"")</f>
        <v/>
      </c>
      <c r="I54" t="str">
        <f>IFERROR(IF(OR(INDEX(tblTrans[ProductID],53)="",ISNUMBER(SEARCH("ProductID",INDEX(tblTrans[ProductID],53)))),"",D54*_xlfn.XLOOKUP(B54,tblProducts[ProductID],tblProducts[UnitCost],0)),"")</f>
        <v/>
      </c>
    </row>
    <row r="55" spans="1:9" x14ac:dyDescent="0.3">
      <c r="A55" s="5" t="str">
        <f>IFERROR(IF(OR(INDEX(tblTrans[ProductID],54)="",ISNUMBER(SEARCH("ProductID",INDEX(tblTrans[ProductID],54)))),"",INDEX(tblTrans[Date],54)),"")</f>
        <v/>
      </c>
      <c r="B55" t="str">
        <f>IFERROR(IF(OR(INDEX(tblTrans[ProductID],54)="",ISNUMBER(SEARCH("ProductID",INDEX(tblTrans[ProductID],54)))),"",INDEX(tblTrans[ProductID],54)),"")</f>
        <v/>
      </c>
      <c r="C55" t="str">
        <f>IFERROR(IF(OR(INDEX(tblTrans[ProductID],54)="",ISNUMBER(SEARCH("ProductID",INDEX(tblTrans[ProductID],54)))),"",INDEX(tblTrans[Location],54)),"")</f>
        <v/>
      </c>
      <c r="D55" t="str">
        <f>IFERROR(IF(OR(INDEX(tblTrans[ProductID],54)="",ISNUMBER(SEARCH("ProductID",INDEX(tblTrans[ProductID],54)))),"",INDEX(tblTrans[Quantity],54)),"")</f>
        <v/>
      </c>
      <c r="E55" t="str">
        <f>IFERROR(IF(OR(INDEX(tblTrans[ProductID],54)="",ISNUMBER(SEARCH("ProductID",INDEX(tblTrans[ProductID],54)))),"",INDEX(tblTrans[Type],54)),"")</f>
        <v/>
      </c>
      <c r="F55" t="str">
        <f>IFERROR(IF(OR(INDEX(tblTrans[ProductID],54)="",ISNUMBER(SEARCH("ProductID",INDEX(tblTrans[ProductID],54)))),"",_xlfn.XLOOKUP(B55,tblProducts[ProductID],tblProducts[ProductName],"")),"")</f>
        <v/>
      </c>
      <c r="G55" t="str">
        <f>IFERROR(IF(OR(INDEX(tblTrans[ProductID],54)="",ISNUMBER(SEARCH("ProductID",INDEX(tblTrans[ProductID],54)))),"",_xlfn.XLOOKUP(B55,tblProducts[ProductID],tblProducts[Category],"")),"")</f>
        <v/>
      </c>
      <c r="H55" t="str">
        <f>IFERROR(IF(OR(INDEX(tblTrans[ProductID],54)="",ISNUMBER(SEARCH("ProductID",INDEX(tblTrans[ProductID],54)))),"",_xlfn.XLOOKUP(B55,tblProducts[ProductID],tblProducts[Supplier],"")),"")</f>
        <v/>
      </c>
      <c r="I55" t="str">
        <f>IFERROR(IF(OR(INDEX(tblTrans[ProductID],54)="",ISNUMBER(SEARCH("ProductID",INDEX(tblTrans[ProductID],54)))),"",D55*_xlfn.XLOOKUP(B55,tblProducts[ProductID],tblProducts[UnitCost],0)),"")</f>
        <v/>
      </c>
    </row>
    <row r="56" spans="1:9" x14ac:dyDescent="0.3">
      <c r="A56" s="5" t="str">
        <f>IFERROR(IF(OR(INDEX(tblTrans[ProductID],55)="",ISNUMBER(SEARCH("ProductID",INDEX(tblTrans[ProductID],55)))),"",INDEX(tblTrans[Date],55)),"")</f>
        <v/>
      </c>
      <c r="B56" t="str">
        <f>IFERROR(IF(OR(INDEX(tblTrans[ProductID],55)="",ISNUMBER(SEARCH("ProductID",INDEX(tblTrans[ProductID],55)))),"",INDEX(tblTrans[ProductID],55)),"")</f>
        <v/>
      </c>
      <c r="C56" t="str">
        <f>IFERROR(IF(OR(INDEX(tblTrans[ProductID],55)="",ISNUMBER(SEARCH("ProductID",INDEX(tblTrans[ProductID],55)))),"",INDEX(tblTrans[Location],55)),"")</f>
        <v/>
      </c>
      <c r="D56" t="str">
        <f>IFERROR(IF(OR(INDEX(tblTrans[ProductID],55)="",ISNUMBER(SEARCH("ProductID",INDEX(tblTrans[ProductID],55)))),"",INDEX(tblTrans[Quantity],55)),"")</f>
        <v/>
      </c>
      <c r="E56" t="str">
        <f>IFERROR(IF(OR(INDEX(tblTrans[ProductID],55)="",ISNUMBER(SEARCH("ProductID",INDEX(tblTrans[ProductID],55)))),"",INDEX(tblTrans[Type],55)),"")</f>
        <v/>
      </c>
      <c r="F56" t="str">
        <f>IFERROR(IF(OR(INDEX(tblTrans[ProductID],55)="",ISNUMBER(SEARCH("ProductID",INDEX(tblTrans[ProductID],55)))),"",_xlfn.XLOOKUP(B56,tblProducts[ProductID],tblProducts[ProductName],"")),"")</f>
        <v/>
      </c>
      <c r="G56" t="str">
        <f>IFERROR(IF(OR(INDEX(tblTrans[ProductID],55)="",ISNUMBER(SEARCH("ProductID",INDEX(tblTrans[ProductID],55)))),"",_xlfn.XLOOKUP(B56,tblProducts[ProductID],tblProducts[Category],"")),"")</f>
        <v/>
      </c>
      <c r="H56" t="str">
        <f>IFERROR(IF(OR(INDEX(tblTrans[ProductID],55)="",ISNUMBER(SEARCH("ProductID",INDEX(tblTrans[ProductID],55)))),"",_xlfn.XLOOKUP(B56,tblProducts[ProductID],tblProducts[Supplier],"")),"")</f>
        <v/>
      </c>
      <c r="I56" t="str">
        <f>IFERROR(IF(OR(INDEX(tblTrans[ProductID],55)="",ISNUMBER(SEARCH("ProductID",INDEX(tblTrans[ProductID],55)))),"",D56*_xlfn.XLOOKUP(B56,tblProducts[ProductID],tblProducts[UnitCost],0)),"")</f>
        <v/>
      </c>
    </row>
    <row r="57" spans="1:9" x14ac:dyDescent="0.3">
      <c r="A57" s="5" t="str">
        <f>IFERROR(IF(OR(INDEX(tblTrans[ProductID],56)="",ISNUMBER(SEARCH("ProductID",INDEX(tblTrans[ProductID],56)))),"",INDEX(tblTrans[Date],56)),"")</f>
        <v/>
      </c>
      <c r="B57" t="str">
        <f>IFERROR(IF(OR(INDEX(tblTrans[ProductID],56)="",ISNUMBER(SEARCH("ProductID",INDEX(tblTrans[ProductID],56)))),"",INDEX(tblTrans[ProductID],56)),"")</f>
        <v/>
      </c>
      <c r="C57" t="str">
        <f>IFERROR(IF(OR(INDEX(tblTrans[ProductID],56)="",ISNUMBER(SEARCH("ProductID",INDEX(tblTrans[ProductID],56)))),"",INDEX(tblTrans[Location],56)),"")</f>
        <v/>
      </c>
      <c r="D57" t="str">
        <f>IFERROR(IF(OR(INDEX(tblTrans[ProductID],56)="",ISNUMBER(SEARCH("ProductID",INDEX(tblTrans[ProductID],56)))),"",INDEX(tblTrans[Quantity],56)),"")</f>
        <v/>
      </c>
      <c r="E57" t="str">
        <f>IFERROR(IF(OR(INDEX(tblTrans[ProductID],56)="",ISNUMBER(SEARCH("ProductID",INDEX(tblTrans[ProductID],56)))),"",INDEX(tblTrans[Type],56)),"")</f>
        <v/>
      </c>
      <c r="F57" t="str">
        <f>IFERROR(IF(OR(INDEX(tblTrans[ProductID],56)="",ISNUMBER(SEARCH("ProductID",INDEX(tblTrans[ProductID],56)))),"",_xlfn.XLOOKUP(B57,tblProducts[ProductID],tblProducts[ProductName],"")),"")</f>
        <v/>
      </c>
      <c r="G57" t="str">
        <f>IFERROR(IF(OR(INDEX(tblTrans[ProductID],56)="",ISNUMBER(SEARCH("ProductID",INDEX(tblTrans[ProductID],56)))),"",_xlfn.XLOOKUP(B57,tblProducts[ProductID],tblProducts[Category],"")),"")</f>
        <v/>
      </c>
      <c r="H57" t="str">
        <f>IFERROR(IF(OR(INDEX(tblTrans[ProductID],56)="",ISNUMBER(SEARCH("ProductID",INDEX(tblTrans[ProductID],56)))),"",_xlfn.XLOOKUP(B57,tblProducts[ProductID],tblProducts[Supplier],"")),"")</f>
        <v/>
      </c>
      <c r="I57" t="str">
        <f>IFERROR(IF(OR(INDEX(tblTrans[ProductID],56)="",ISNUMBER(SEARCH("ProductID",INDEX(tblTrans[ProductID],56)))),"",D57*_xlfn.XLOOKUP(B57,tblProducts[ProductID],tblProducts[UnitCost],0)),"")</f>
        <v/>
      </c>
    </row>
    <row r="58" spans="1:9" x14ac:dyDescent="0.3">
      <c r="A58" s="5" t="str">
        <f>IFERROR(IF(OR(INDEX(tblTrans[ProductID],57)="",ISNUMBER(SEARCH("ProductID",INDEX(tblTrans[ProductID],57)))),"",INDEX(tblTrans[Date],57)),"")</f>
        <v/>
      </c>
      <c r="B58" t="str">
        <f>IFERROR(IF(OR(INDEX(tblTrans[ProductID],57)="",ISNUMBER(SEARCH("ProductID",INDEX(tblTrans[ProductID],57)))),"",INDEX(tblTrans[ProductID],57)),"")</f>
        <v/>
      </c>
      <c r="C58" t="str">
        <f>IFERROR(IF(OR(INDEX(tblTrans[ProductID],57)="",ISNUMBER(SEARCH("ProductID",INDEX(tblTrans[ProductID],57)))),"",INDEX(tblTrans[Location],57)),"")</f>
        <v/>
      </c>
      <c r="D58" t="str">
        <f>IFERROR(IF(OR(INDEX(tblTrans[ProductID],57)="",ISNUMBER(SEARCH("ProductID",INDEX(tblTrans[ProductID],57)))),"",INDEX(tblTrans[Quantity],57)),"")</f>
        <v/>
      </c>
      <c r="E58" t="str">
        <f>IFERROR(IF(OR(INDEX(tblTrans[ProductID],57)="",ISNUMBER(SEARCH("ProductID",INDEX(tblTrans[ProductID],57)))),"",INDEX(tblTrans[Type],57)),"")</f>
        <v/>
      </c>
      <c r="F58" t="str">
        <f>IFERROR(IF(OR(INDEX(tblTrans[ProductID],57)="",ISNUMBER(SEARCH("ProductID",INDEX(tblTrans[ProductID],57)))),"",_xlfn.XLOOKUP(B58,tblProducts[ProductID],tblProducts[ProductName],"")),"")</f>
        <v/>
      </c>
      <c r="G58" t="str">
        <f>IFERROR(IF(OR(INDEX(tblTrans[ProductID],57)="",ISNUMBER(SEARCH("ProductID",INDEX(tblTrans[ProductID],57)))),"",_xlfn.XLOOKUP(B58,tblProducts[ProductID],tblProducts[Category],"")),"")</f>
        <v/>
      </c>
      <c r="H58" t="str">
        <f>IFERROR(IF(OR(INDEX(tblTrans[ProductID],57)="",ISNUMBER(SEARCH("ProductID",INDEX(tblTrans[ProductID],57)))),"",_xlfn.XLOOKUP(B58,tblProducts[ProductID],tblProducts[Supplier],"")),"")</f>
        <v/>
      </c>
      <c r="I58" t="str">
        <f>IFERROR(IF(OR(INDEX(tblTrans[ProductID],57)="",ISNUMBER(SEARCH("ProductID",INDEX(tblTrans[ProductID],57)))),"",D58*_xlfn.XLOOKUP(B58,tblProducts[ProductID],tblProducts[UnitCost],0)),"")</f>
        <v/>
      </c>
    </row>
    <row r="59" spans="1:9" x14ac:dyDescent="0.3">
      <c r="A59" s="5" t="str">
        <f>IFERROR(IF(OR(INDEX(tblTrans[ProductID],58)="",ISNUMBER(SEARCH("ProductID",INDEX(tblTrans[ProductID],58)))),"",INDEX(tblTrans[Date],58)),"")</f>
        <v/>
      </c>
      <c r="B59" t="str">
        <f>IFERROR(IF(OR(INDEX(tblTrans[ProductID],58)="",ISNUMBER(SEARCH("ProductID",INDEX(tblTrans[ProductID],58)))),"",INDEX(tblTrans[ProductID],58)),"")</f>
        <v/>
      </c>
      <c r="C59" t="str">
        <f>IFERROR(IF(OR(INDEX(tblTrans[ProductID],58)="",ISNUMBER(SEARCH("ProductID",INDEX(tblTrans[ProductID],58)))),"",INDEX(tblTrans[Location],58)),"")</f>
        <v/>
      </c>
      <c r="D59" t="str">
        <f>IFERROR(IF(OR(INDEX(tblTrans[ProductID],58)="",ISNUMBER(SEARCH("ProductID",INDEX(tblTrans[ProductID],58)))),"",INDEX(tblTrans[Quantity],58)),"")</f>
        <v/>
      </c>
      <c r="E59" t="str">
        <f>IFERROR(IF(OR(INDEX(tblTrans[ProductID],58)="",ISNUMBER(SEARCH("ProductID",INDEX(tblTrans[ProductID],58)))),"",INDEX(tblTrans[Type],58)),"")</f>
        <v/>
      </c>
      <c r="F59" t="str">
        <f>IFERROR(IF(OR(INDEX(tblTrans[ProductID],58)="",ISNUMBER(SEARCH("ProductID",INDEX(tblTrans[ProductID],58)))),"",_xlfn.XLOOKUP(B59,tblProducts[ProductID],tblProducts[ProductName],"")),"")</f>
        <v/>
      </c>
      <c r="G59" t="str">
        <f>IFERROR(IF(OR(INDEX(tblTrans[ProductID],58)="",ISNUMBER(SEARCH("ProductID",INDEX(tblTrans[ProductID],58)))),"",_xlfn.XLOOKUP(B59,tblProducts[ProductID],tblProducts[Category],"")),"")</f>
        <v/>
      </c>
      <c r="H59" t="str">
        <f>IFERROR(IF(OR(INDEX(tblTrans[ProductID],58)="",ISNUMBER(SEARCH("ProductID",INDEX(tblTrans[ProductID],58)))),"",_xlfn.XLOOKUP(B59,tblProducts[ProductID],tblProducts[Supplier],"")),"")</f>
        <v/>
      </c>
      <c r="I59" t="str">
        <f>IFERROR(IF(OR(INDEX(tblTrans[ProductID],58)="",ISNUMBER(SEARCH("ProductID",INDEX(tblTrans[ProductID],58)))),"",D59*_xlfn.XLOOKUP(B59,tblProducts[ProductID],tblProducts[UnitCost],0)),"")</f>
        <v/>
      </c>
    </row>
    <row r="60" spans="1:9" x14ac:dyDescent="0.3">
      <c r="A60" s="5" t="str">
        <f>IFERROR(IF(OR(INDEX(tblTrans[ProductID],59)="",ISNUMBER(SEARCH("ProductID",INDEX(tblTrans[ProductID],59)))),"",INDEX(tblTrans[Date],59)),"")</f>
        <v/>
      </c>
      <c r="B60" t="str">
        <f>IFERROR(IF(OR(INDEX(tblTrans[ProductID],59)="",ISNUMBER(SEARCH("ProductID",INDEX(tblTrans[ProductID],59)))),"",INDEX(tblTrans[ProductID],59)),"")</f>
        <v/>
      </c>
      <c r="C60" t="str">
        <f>IFERROR(IF(OR(INDEX(tblTrans[ProductID],59)="",ISNUMBER(SEARCH("ProductID",INDEX(tblTrans[ProductID],59)))),"",INDEX(tblTrans[Location],59)),"")</f>
        <v/>
      </c>
      <c r="D60" t="str">
        <f>IFERROR(IF(OR(INDEX(tblTrans[ProductID],59)="",ISNUMBER(SEARCH("ProductID",INDEX(tblTrans[ProductID],59)))),"",INDEX(tblTrans[Quantity],59)),"")</f>
        <v/>
      </c>
      <c r="E60" t="str">
        <f>IFERROR(IF(OR(INDEX(tblTrans[ProductID],59)="",ISNUMBER(SEARCH("ProductID",INDEX(tblTrans[ProductID],59)))),"",INDEX(tblTrans[Type],59)),"")</f>
        <v/>
      </c>
      <c r="F60" t="str">
        <f>IFERROR(IF(OR(INDEX(tblTrans[ProductID],59)="",ISNUMBER(SEARCH("ProductID",INDEX(tblTrans[ProductID],59)))),"",_xlfn.XLOOKUP(B60,tblProducts[ProductID],tblProducts[ProductName],"")),"")</f>
        <v/>
      </c>
      <c r="G60" t="str">
        <f>IFERROR(IF(OR(INDEX(tblTrans[ProductID],59)="",ISNUMBER(SEARCH("ProductID",INDEX(tblTrans[ProductID],59)))),"",_xlfn.XLOOKUP(B60,tblProducts[ProductID],tblProducts[Category],"")),"")</f>
        <v/>
      </c>
      <c r="H60" t="str">
        <f>IFERROR(IF(OR(INDEX(tblTrans[ProductID],59)="",ISNUMBER(SEARCH("ProductID",INDEX(tblTrans[ProductID],59)))),"",_xlfn.XLOOKUP(B60,tblProducts[ProductID],tblProducts[Supplier],"")),"")</f>
        <v/>
      </c>
      <c r="I60" t="str">
        <f>IFERROR(IF(OR(INDEX(tblTrans[ProductID],59)="",ISNUMBER(SEARCH("ProductID",INDEX(tblTrans[ProductID],59)))),"",D60*_xlfn.XLOOKUP(B60,tblProducts[ProductID],tblProducts[UnitCost],0)),"")</f>
        <v/>
      </c>
    </row>
    <row r="61" spans="1:9" x14ac:dyDescent="0.3">
      <c r="A61" s="5" t="str">
        <f>IFERROR(IF(OR(INDEX(tblTrans[ProductID],60)="",ISNUMBER(SEARCH("ProductID",INDEX(tblTrans[ProductID],60)))),"",INDEX(tblTrans[Date],60)),"")</f>
        <v/>
      </c>
      <c r="B61" t="str">
        <f>IFERROR(IF(OR(INDEX(tblTrans[ProductID],60)="",ISNUMBER(SEARCH("ProductID",INDEX(tblTrans[ProductID],60)))),"",INDEX(tblTrans[ProductID],60)),"")</f>
        <v/>
      </c>
      <c r="C61" t="str">
        <f>IFERROR(IF(OR(INDEX(tblTrans[ProductID],60)="",ISNUMBER(SEARCH("ProductID",INDEX(tblTrans[ProductID],60)))),"",INDEX(tblTrans[Location],60)),"")</f>
        <v/>
      </c>
      <c r="D61" t="str">
        <f>IFERROR(IF(OR(INDEX(tblTrans[ProductID],60)="",ISNUMBER(SEARCH("ProductID",INDEX(tblTrans[ProductID],60)))),"",INDEX(tblTrans[Quantity],60)),"")</f>
        <v/>
      </c>
      <c r="E61" t="str">
        <f>IFERROR(IF(OR(INDEX(tblTrans[ProductID],60)="",ISNUMBER(SEARCH("ProductID",INDEX(tblTrans[ProductID],60)))),"",INDEX(tblTrans[Type],60)),"")</f>
        <v/>
      </c>
      <c r="F61" t="str">
        <f>IFERROR(IF(OR(INDEX(tblTrans[ProductID],60)="",ISNUMBER(SEARCH("ProductID",INDEX(tblTrans[ProductID],60)))),"",_xlfn.XLOOKUP(B61,tblProducts[ProductID],tblProducts[ProductName],"")),"")</f>
        <v/>
      </c>
      <c r="G61" t="str">
        <f>IFERROR(IF(OR(INDEX(tblTrans[ProductID],60)="",ISNUMBER(SEARCH("ProductID",INDEX(tblTrans[ProductID],60)))),"",_xlfn.XLOOKUP(B61,tblProducts[ProductID],tblProducts[Category],"")),"")</f>
        <v/>
      </c>
      <c r="H61" t="str">
        <f>IFERROR(IF(OR(INDEX(tblTrans[ProductID],60)="",ISNUMBER(SEARCH("ProductID",INDEX(tblTrans[ProductID],60)))),"",_xlfn.XLOOKUP(B61,tblProducts[ProductID],tblProducts[Supplier],"")),"")</f>
        <v/>
      </c>
      <c r="I61" t="str">
        <f>IFERROR(IF(OR(INDEX(tblTrans[ProductID],60)="",ISNUMBER(SEARCH("ProductID",INDEX(tblTrans[ProductID],60)))),"",D61*_xlfn.XLOOKUP(B61,tblProducts[ProductID],tblProducts[UnitCost],0)),"")</f>
        <v/>
      </c>
    </row>
    <row r="62" spans="1:9" x14ac:dyDescent="0.3">
      <c r="A62" s="5" t="str">
        <f>IFERROR(IF(OR(INDEX(tblTrans[ProductID],61)="",ISNUMBER(SEARCH("ProductID",INDEX(tblTrans[ProductID],61)))),"",INDEX(tblTrans[Date],61)),"")</f>
        <v/>
      </c>
      <c r="B62" t="str">
        <f>IFERROR(IF(OR(INDEX(tblTrans[ProductID],61)="",ISNUMBER(SEARCH("ProductID",INDEX(tblTrans[ProductID],61)))),"",INDEX(tblTrans[ProductID],61)),"")</f>
        <v/>
      </c>
      <c r="C62" t="str">
        <f>IFERROR(IF(OR(INDEX(tblTrans[ProductID],61)="",ISNUMBER(SEARCH("ProductID",INDEX(tblTrans[ProductID],61)))),"",INDEX(tblTrans[Location],61)),"")</f>
        <v/>
      </c>
      <c r="D62" t="str">
        <f>IFERROR(IF(OR(INDEX(tblTrans[ProductID],61)="",ISNUMBER(SEARCH("ProductID",INDEX(tblTrans[ProductID],61)))),"",INDEX(tblTrans[Quantity],61)),"")</f>
        <v/>
      </c>
      <c r="E62" t="str">
        <f>IFERROR(IF(OR(INDEX(tblTrans[ProductID],61)="",ISNUMBER(SEARCH("ProductID",INDEX(tblTrans[ProductID],61)))),"",INDEX(tblTrans[Type],61)),"")</f>
        <v/>
      </c>
      <c r="F62" t="str">
        <f>IFERROR(IF(OR(INDEX(tblTrans[ProductID],61)="",ISNUMBER(SEARCH("ProductID",INDEX(tblTrans[ProductID],61)))),"",_xlfn.XLOOKUP(B62,tblProducts[ProductID],tblProducts[ProductName],"")),"")</f>
        <v/>
      </c>
      <c r="G62" t="str">
        <f>IFERROR(IF(OR(INDEX(tblTrans[ProductID],61)="",ISNUMBER(SEARCH("ProductID",INDEX(tblTrans[ProductID],61)))),"",_xlfn.XLOOKUP(B62,tblProducts[ProductID],tblProducts[Category],"")),"")</f>
        <v/>
      </c>
      <c r="H62" t="str">
        <f>IFERROR(IF(OR(INDEX(tblTrans[ProductID],61)="",ISNUMBER(SEARCH("ProductID",INDEX(tblTrans[ProductID],61)))),"",_xlfn.XLOOKUP(B62,tblProducts[ProductID],tblProducts[Supplier],"")),"")</f>
        <v/>
      </c>
      <c r="I62" t="str">
        <f>IFERROR(IF(OR(INDEX(tblTrans[ProductID],61)="",ISNUMBER(SEARCH("ProductID",INDEX(tblTrans[ProductID],61)))),"",D62*_xlfn.XLOOKUP(B62,tblProducts[ProductID],tblProducts[UnitCost],0)),"")</f>
        <v/>
      </c>
    </row>
    <row r="63" spans="1:9" x14ac:dyDescent="0.3">
      <c r="A63" s="5" t="str">
        <f>IFERROR(IF(OR(INDEX(tblTrans[ProductID],62)="",ISNUMBER(SEARCH("ProductID",INDEX(tblTrans[ProductID],62)))),"",INDEX(tblTrans[Date],62)),"")</f>
        <v/>
      </c>
      <c r="B63" t="str">
        <f>IFERROR(IF(OR(INDEX(tblTrans[ProductID],62)="",ISNUMBER(SEARCH("ProductID",INDEX(tblTrans[ProductID],62)))),"",INDEX(tblTrans[ProductID],62)),"")</f>
        <v/>
      </c>
      <c r="C63" t="str">
        <f>IFERROR(IF(OR(INDEX(tblTrans[ProductID],62)="",ISNUMBER(SEARCH("ProductID",INDEX(tblTrans[ProductID],62)))),"",INDEX(tblTrans[Location],62)),"")</f>
        <v/>
      </c>
      <c r="D63" t="str">
        <f>IFERROR(IF(OR(INDEX(tblTrans[ProductID],62)="",ISNUMBER(SEARCH("ProductID",INDEX(tblTrans[ProductID],62)))),"",INDEX(tblTrans[Quantity],62)),"")</f>
        <v/>
      </c>
      <c r="E63" t="str">
        <f>IFERROR(IF(OR(INDEX(tblTrans[ProductID],62)="",ISNUMBER(SEARCH("ProductID",INDEX(tblTrans[ProductID],62)))),"",INDEX(tblTrans[Type],62)),"")</f>
        <v/>
      </c>
      <c r="F63" t="str">
        <f>IFERROR(IF(OR(INDEX(tblTrans[ProductID],62)="",ISNUMBER(SEARCH("ProductID",INDEX(tblTrans[ProductID],62)))),"",_xlfn.XLOOKUP(B63,tblProducts[ProductID],tblProducts[ProductName],"")),"")</f>
        <v/>
      </c>
      <c r="G63" t="str">
        <f>IFERROR(IF(OR(INDEX(tblTrans[ProductID],62)="",ISNUMBER(SEARCH("ProductID",INDEX(tblTrans[ProductID],62)))),"",_xlfn.XLOOKUP(B63,tblProducts[ProductID],tblProducts[Category],"")),"")</f>
        <v/>
      </c>
      <c r="H63" t="str">
        <f>IFERROR(IF(OR(INDEX(tblTrans[ProductID],62)="",ISNUMBER(SEARCH("ProductID",INDEX(tblTrans[ProductID],62)))),"",_xlfn.XLOOKUP(B63,tblProducts[ProductID],tblProducts[Supplier],"")),"")</f>
        <v/>
      </c>
      <c r="I63" t="str">
        <f>IFERROR(IF(OR(INDEX(tblTrans[ProductID],62)="",ISNUMBER(SEARCH("ProductID",INDEX(tblTrans[ProductID],62)))),"",D63*_xlfn.XLOOKUP(B63,tblProducts[ProductID],tblProducts[UnitCost],0)),"")</f>
        <v/>
      </c>
    </row>
    <row r="64" spans="1:9" x14ac:dyDescent="0.3">
      <c r="A64" s="5" t="str">
        <f>IFERROR(IF(OR(INDEX(tblTrans[ProductID],63)="",ISNUMBER(SEARCH("ProductID",INDEX(tblTrans[ProductID],63)))),"",INDEX(tblTrans[Date],63)),"")</f>
        <v/>
      </c>
      <c r="B64" t="str">
        <f>IFERROR(IF(OR(INDEX(tblTrans[ProductID],63)="",ISNUMBER(SEARCH("ProductID",INDEX(tblTrans[ProductID],63)))),"",INDEX(tblTrans[ProductID],63)),"")</f>
        <v/>
      </c>
      <c r="C64" t="str">
        <f>IFERROR(IF(OR(INDEX(tblTrans[ProductID],63)="",ISNUMBER(SEARCH("ProductID",INDEX(tblTrans[ProductID],63)))),"",INDEX(tblTrans[Location],63)),"")</f>
        <v/>
      </c>
      <c r="D64" t="str">
        <f>IFERROR(IF(OR(INDEX(tblTrans[ProductID],63)="",ISNUMBER(SEARCH("ProductID",INDEX(tblTrans[ProductID],63)))),"",INDEX(tblTrans[Quantity],63)),"")</f>
        <v/>
      </c>
      <c r="E64" t="str">
        <f>IFERROR(IF(OR(INDEX(tblTrans[ProductID],63)="",ISNUMBER(SEARCH("ProductID",INDEX(tblTrans[ProductID],63)))),"",INDEX(tblTrans[Type],63)),"")</f>
        <v/>
      </c>
      <c r="F64" t="str">
        <f>IFERROR(IF(OR(INDEX(tblTrans[ProductID],63)="",ISNUMBER(SEARCH("ProductID",INDEX(tblTrans[ProductID],63)))),"",_xlfn.XLOOKUP(B64,tblProducts[ProductID],tblProducts[ProductName],"")),"")</f>
        <v/>
      </c>
      <c r="G64" t="str">
        <f>IFERROR(IF(OR(INDEX(tblTrans[ProductID],63)="",ISNUMBER(SEARCH("ProductID",INDEX(tblTrans[ProductID],63)))),"",_xlfn.XLOOKUP(B64,tblProducts[ProductID],tblProducts[Category],"")),"")</f>
        <v/>
      </c>
      <c r="H64" t="str">
        <f>IFERROR(IF(OR(INDEX(tblTrans[ProductID],63)="",ISNUMBER(SEARCH("ProductID",INDEX(tblTrans[ProductID],63)))),"",_xlfn.XLOOKUP(B64,tblProducts[ProductID],tblProducts[Supplier],"")),"")</f>
        <v/>
      </c>
      <c r="I64" t="str">
        <f>IFERROR(IF(OR(INDEX(tblTrans[ProductID],63)="",ISNUMBER(SEARCH("ProductID",INDEX(tblTrans[ProductID],63)))),"",D64*_xlfn.XLOOKUP(B64,tblProducts[ProductID],tblProducts[UnitCost],0)),"")</f>
        <v/>
      </c>
    </row>
    <row r="65" spans="1:9" x14ac:dyDescent="0.3">
      <c r="A65" s="5" t="str">
        <f>IFERROR(IF(OR(INDEX(tblTrans[ProductID],64)="",ISNUMBER(SEARCH("ProductID",INDEX(tblTrans[ProductID],64)))),"",INDEX(tblTrans[Date],64)),"")</f>
        <v/>
      </c>
      <c r="B65" t="str">
        <f>IFERROR(IF(OR(INDEX(tblTrans[ProductID],64)="",ISNUMBER(SEARCH("ProductID",INDEX(tblTrans[ProductID],64)))),"",INDEX(tblTrans[ProductID],64)),"")</f>
        <v/>
      </c>
      <c r="C65" t="str">
        <f>IFERROR(IF(OR(INDEX(tblTrans[ProductID],64)="",ISNUMBER(SEARCH("ProductID",INDEX(tblTrans[ProductID],64)))),"",INDEX(tblTrans[Location],64)),"")</f>
        <v/>
      </c>
      <c r="D65" t="str">
        <f>IFERROR(IF(OR(INDEX(tblTrans[ProductID],64)="",ISNUMBER(SEARCH("ProductID",INDEX(tblTrans[ProductID],64)))),"",INDEX(tblTrans[Quantity],64)),"")</f>
        <v/>
      </c>
      <c r="E65" t="str">
        <f>IFERROR(IF(OR(INDEX(tblTrans[ProductID],64)="",ISNUMBER(SEARCH("ProductID",INDEX(tblTrans[ProductID],64)))),"",INDEX(tblTrans[Type],64)),"")</f>
        <v/>
      </c>
      <c r="F65" t="str">
        <f>IFERROR(IF(OR(INDEX(tblTrans[ProductID],64)="",ISNUMBER(SEARCH("ProductID",INDEX(tblTrans[ProductID],64)))),"",_xlfn.XLOOKUP(B65,tblProducts[ProductID],tblProducts[ProductName],"")),"")</f>
        <v/>
      </c>
      <c r="G65" t="str">
        <f>IFERROR(IF(OR(INDEX(tblTrans[ProductID],64)="",ISNUMBER(SEARCH("ProductID",INDEX(tblTrans[ProductID],64)))),"",_xlfn.XLOOKUP(B65,tblProducts[ProductID],tblProducts[Category],"")),"")</f>
        <v/>
      </c>
      <c r="H65" t="str">
        <f>IFERROR(IF(OR(INDEX(tblTrans[ProductID],64)="",ISNUMBER(SEARCH("ProductID",INDEX(tblTrans[ProductID],64)))),"",_xlfn.XLOOKUP(B65,tblProducts[ProductID],tblProducts[Supplier],"")),"")</f>
        <v/>
      </c>
      <c r="I65" t="str">
        <f>IFERROR(IF(OR(INDEX(tblTrans[ProductID],64)="",ISNUMBER(SEARCH("ProductID",INDEX(tblTrans[ProductID],64)))),"",D65*_xlfn.XLOOKUP(B65,tblProducts[ProductID],tblProducts[UnitCost],0)),"")</f>
        <v/>
      </c>
    </row>
    <row r="66" spans="1:9" x14ac:dyDescent="0.3">
      <c r="A66" s="5" t="str">
        <f>IFERROR(IF(OR(INDEX(tblTrans[ProductID],65)="",ISNUMBER(SEARCH("ProductID",INDEX(tblTrans[ProductID],65)))),"",INDEX(tblTrans[Date],65)),"")</f>
        <v/>
      </c>
      <c r="B66" t="str">
        <f>IFERROR(IF(OR(INDEX(tblTrans[ProductID],65)="",ISNUMBER(SEARCH("ProductID",INDEX(tblTrans[ProductID],65)))),"",INDEX(tblTrans[ProductID],65)),"")</f>
        <v/>
      </c>
      <c r="C66" t="str">
        <f>IFERROR(IF(OR(INDEX(tblTrans[ProductID],65)="",ISNUMBER(SEARCH("ProductID",INDEX(tblTrans[ProductID],65)))),"",INDEX(tblTrans[Location],65)),"")</f>
        <v/>
      </c>
      <c r="D66" t="str">
        <f>IFERROR(IF(OR(INDEX(tblTrans[ProductID],65)="",ISNUMBER(SEARCH("ProductID",INDEX(tblTrans[ProductID],65)))),"",INDEX(tblTrans[Quantity],65)),"")</f>
        <v/>
      </c>
      <c r="E66" t="str">
        <f>IFERROR(IF(OR(INDEX(tblTrans[ProductID],65)="",ISNUMBER(SEARCH("ProductID",INDEX(tblTrans[ProductID],65)))),"",INDEX(tblTrans[Type],65)),"")</f>
        <v/>
      </c>
      <c r="F66" t="str">
        <f>IFERROR(IF(OR(INDEX(tblTrans[ProductID],65)="",ISNUMBER(SEARCH("ProductID",INDEX(tblTrans[ProductID],65)))),"",_xlfn.XLOOKUP(B66,tblProducts[ProductID],tblProducts[ProductName],"")),"")</f>
        <v/>
      </c>
      <c r="G66" t="str">
        <f>IFERROR(IF(OR(INDEX(tblTrans[ProductID],65)="",ISNUMBER(SEARCH("ProductID",INDEX(tblTrans[ProductID],65)))),"",_xlfn.XLOOKUP(B66,tblProducts[ProductID],tblProducts[Category],"")),"")</f>
        <v/>
      </c>
      <c r="H66" t="str">
        <f>IFERROR(IF(OR(INDEX(tblTrans[ProductID],65)="",ISNUMBER(SEARCH("ProductID",INDEX(tblTrans[ProductID],65)))),"",_xlfn.XLOOKUP(B66,tblProducts[ProductID],tblProducts[Supplier],"")),"")</f>
        <v/>
      </c>
      <c r="I66" t="str">
        <f>IFERROR(IF(OR(INDEX(tblTrans[ProductID],65)="",ISNUMBER(SEARCH("ProductID",INDEX(tblTrans[ProductID],65)))),"",D66*_xlfn.XLOOKUP(B66,tblProducts[ProductID],tblProducts[UnitCost],0)),"")</f>
        <v/>
      </c>
    </row>
    <row r="67" spans="1:9" x14ac:dyDescent="0.3">
      <c r="A67" s="5" t="str">
        <f>IFERROR(IF(OR(INDEX(tblTrans[ProductID],66)="",ISNUMBER(SEARCH("ProductID",INDEX(tblTrans[ProductID],66)))),"",INDEX(tblTrans[Date],66)),"")</f>
        <v/>
      </c>
      <c r="B67" t="str">
        <f>IFERROR(IF(OR(INDEX(tblTrans[ProductID],66)="",ISNUMBER(SEARCH("ProductID",INDEX(tblTrans[ProductID],66)))),"",INDEX(tblTrans[ProductID],66)),"")</f>
        <v/>
      </c>
      <c r="C67" t="str">
        <f>IFERROR(IF(OR(INDEX(tblTrans[ProductID],66)="",ISNUMBER(SEARCH("ProductID",INDEX(tblTrans[ProductID],66)))),"",INDEX(tblTrans[Location],66)),"")</f>
        <v/>
      </c>
      <c r="D67" t="str">
        <f>IFERROR(IF(OR(INDEX(tblTrans[ProductID],66)="",ISNUMBER(SEARCH("ProductID",INDEX(tblTrans[ProductID],66)))),"",INDEX(tblTrans[Quantity],66)),"")</f>
        <v/>
      </c>
      <c r="E67" t="str">
        <f>IFERROR(IF(OR(INDEX(tblTrans[ProductID],66)="",ISNUMBER(SEARCH("ProductID",INDEX(tblTrans[ProductID],66)))),"",INDEX(tblTrans[Type],66)),"")</f>
        <v/>
      </c>
      <c r="F67" t="str">
        <f>IFERROR(IF(OR(INDEX(tblTrans[ProductID],66)="",ISNUMBER(SEARCH("ProductID",INDEX(tblTrans[ProductID],66)))),"",_xlfn.XLOOKUP(B67,tblProducts[ProductID],tblProducts[ProductName],"")),"")</f>
        <v/>
      </c>
      <c r="G67" t="str">
        <f>IFERROR(IF(OR(INDEX(tblTrans[ProductID],66)="",ISNUMBER(SEARCH("ProductID",INDEX(tblTrans[ProductID],66)))),"",_xlfn.XLOOKUP(B67,tblProducts[ProductID],tblProducts[Category],"")),"")</f>
        <v/>
      </c>
      <c r="H67" t="str">
        <f>IFERROR(IF(OR(INDEX(tblTrans[ProductID],66)="",ISNUMBER(SEARCH("ProductID",INDEX(tblTrans[ProductID],66)))),"",_xlfn.XLOOKUP(B67,tblProducts[ProductID],tblProducts[Supplier],"")),"")</f>
        <v/>
      </c>
      <c r="I67" t="str">
        <f>IFERROR(IF(OR(INDEX(tblTrans[ProductID],66)="",ISNUMBER(SEARCH("ProductID",INDEX(tblTrans[ProductID],66)))),"",D67*_xlfn.XLOOKUP(B67,tblProducts[ProductID],tblProducts[UnitCost],0)),"")</f>
        <v/>
      </c>
    </row>
    <row r="68" spans="1:9" x14ac:dyDescent="0.3">
      <c r="A68" s="5" t="str">
        <f>IFERROR(IF(OR(INDEX(tblTrans[ProductID],67)="",ISNUMBER(SEARCH("ProductID",INDEX(tblTrans[ProductID],67)))),"",INDEX(tblTrans[Date],67)),"")</f>
        <v/>
      </c>
      <c r="B68" t="str">
        <f>IFERROR(IF(OR(INDEX(tblTrans[ProductID],67)="",ISNUMBER(SEARCH("ProductID",INDEX(tblTrans[ProductID],67)))),"",INDEX(tblTrans[ProductID],67)),"")</f>
        <v/>
      </c>
      <c r="C68" t="str">
        <f>IFERROR(IF(OR(INDEX(tblTrans[ProductID],67)="",ISNUMBER(SEARCH("ProductID",INDEX(tblTrans[ProductID],67)))),"",INDEX(tblTrans[Location],67)),"")</f>
        <v/>
      </c>
      <c r="D68" t="str">
        <f>IFERROR(IF(OR(INDEX(tblTrans[ProductID],67)="",ISNUMBER(SEARCH("ProductID",INDEX(tblTrans[ProductID],67)))),"",INDEX(tblTrans[Quantity],67)),"")</f>
        <v/>
      </c>
      <c r="E68" t="str">
        <f>IFERROR(IF(OR(INDEX(tblTrans[ProductID],67)="",ISNUMBER(SEARCH("ProductID",INDEX(tblTrans[ProductID],67)))),"",INDEX(tblTrans[Type],67)),"")</f>
        <v/>
      </c>
      <c r="F68" t="str">
        <f>IFERROR(IF(OR(INDEX(tblTrans[ProductID],67)="",ISNUMBER(SEARCH("ProductID",INDEX(tblTrans[ProductID],67)))),"",_xlfn.XLOOKUP(B68,tblProducts[ProductID],tblProducts[ProductName],"")),"")</f>
        <v/>
      </c>
      <c r="G68" t="str">
        <f>IFERROR(IF(OR(INDEX(tblTrans[ProductID],67)="",ISNUMBER(SEARCH("ProductID",INDEX(tblTrans[ProductID],67)))),"",_xlfn.XLOOKUP(B68,tblProducts[ProductID],tblProducts[Category],"")),"")</f>
        <v/>
      </c>
      <c r="H68" t="str">
        <f>IFERROR(IF(OR(INDEX(tblTrans[ProductID],67)="",ISNUMBER(SEARCH("ProductID",INDEX(tblTrans[ProductID],67)))),"",_xlfn.XLOOKUP(B68,tblProducts[ProductID],tblProducts[Supplier],"")),"")</f>
        <v/>
      </c>
      <c r="I68" t="str">
        <f>IFERROR(IF(OR(INDEX(tblTrans[ProductID],67)="",ISNUMBER(SEARCH("ProductID",INDEX(tblTrans[ProductID],67)))),"",D68*_xlfn.XLOOKUP(B68,tblProducts[ProductID],tblProducts[UnitCost],0)),"")</f>
        <v/>
      </c>
    </row>
    <row r="69" spans="1:9" x14ac:dyDescent="0.3">
      <c r="A69" s="5" t="str">
        <f>IFERROR(IF(OR(INDEX(tblTrans[ProductID],68)="",ISNUMBER(SEARCH("ProductID",INDEX(tblTrans[ProductID],68)))),"",INDEX(tblTrans[Date],68)),"")</f>
        <v/>
      </c>
      <c r="B69" t="str">
        <f>IFERROR(IF(OR(INDEX(tblTrans[ProductID],68)="",ISNUMBER(SEARCH("ProductID",INDEX(tblTrans[ProductID],68)))),"",INDEX(tblTrans[ProductID],68)),"")</f>
        <v/>
      </c>
      <c r="C69" t="str">
        <f>IFERROR(IF(OR(INDEX(tblTrans[ProductID],68)="",ISNUMBER(SEARCH("ProductID",INDEX(tblTrans[ProductID],68)))),"",INDEX(tblTrans[Location],68)),"")</f>
        <v/>
      </c>
      <c r="D69" t="str">
        <f>IFERROR(IF(OR(INDEX(tblTrans[ProductID],68)="",ISNUMBER(SEARCH("ProductID",INDEX(tblTrans[ProductID],68)))),"",INDEX(tblTrans[Quantity],68)),"")</f>
        <v/>
      </c>
      <c r="E69" t="str">
        <f>IFERROR(IF(OR(INDEX(tblTrans[ProductID],68)="",ISNUMBER(SEARCH("ProductID",INDEX(tblTrans[ProductID],68)))),"",INDEX(tblTrans[Type],68)),"")</f>
        <v/>
      </c>
      <c r="F69" t="str">
        <f>IFERROR(IF(OR(INDEX(tblTrans[ProductID],68)="",ISNUMBER(SEARCH("ProductID",INDEX(tblTrans[ProductID],68)))),"",_xlfn.XLOOKUP(B69,tblProducts[ProductID],tblProducts[ProductName],"")),"")</f>
        <v/>
      </c>
      <c r="G69" t="str">
        <f>IFERROR(IF(OR(INDEX(tblTrans[ProductID],68)="",ISNUMBER(SEARCH("ProductID",INDEX(tblTrans[ProductID],68)))),"",_xlfn.XLOOKUP(B69,tblProducts[ProductID],tblProducts[Category],"")),"")</f>
        <v/>
      </c>
      <c r="H69" t="str">
        <f>IFERROR(IF(OR(INDEX(tblTrans[ProductID],68)="",ISNUMBER(SEARCH("ProductID",INDEX(tblTrans[ProductID],68)))),"",_xlfn.XLOOKUP(B69,tblProducts[ProductID],tblProducts[Supplier],"")),"")</f>
        <v/>
      </c>
      <c r="I69" t="str">
        <f>IFERROR(IF(OR(INDEX(tblTrans[ProductID],68)="",ISNUMBER(SEARCH("ProductID",INDEX(tblTrans[ProductID],68)))),"",D69*_xlfn.XLOOKUP(B69,tblProducts[ProductID],tblProducts[UnitCost],0)),"")</f>
        <v/>
      </c>
    </row>
    <row r="70" spans="1:9" x14ac:dyDescent="0.3">
      <c r="A70" s="5" t="str">
        <f>IFERROR(IF(OR(INDEX(tblTrans[ProductID],69)="",ISNUMBER(SEARCH("ProductID",INDEX(tblTrans[ProductID],69)))),"",INDEX(tblTrans[Date],69)),"")</f>
        <v/>
      </c>
      <c r="B70" t="str">
        <f>IFERROR(IF(OR(INDEX(tblTrans[ProductID],69)="",ISNUMBER(SEARCH("ProductID",INDEX(tblTrans[ProductID],69)))),"",INDEX(tblTrans[ProductID],69)),"")</f>
        <v/>
      </c>
      <c r="C70" t="str">
        <f>IFERROR(IF(OR(INDEX(tblTrans[ProductID],69)="",ISNUMBER(SEARCH("ProductID",INDEX(tblTrans[ProductID],69)))),"",INDEX(tblTrans[Location],69)),"")</f>
        <v/>
      </c>
      <c r="D70" t="str">
        <f>IFERROR(IF(OR(INDEX(tblTrans[ProductID],69)="",ISNUMBER(SEARCH("ProductID",INDEX(tblTrans[ProductID],69)))),"",INDEX(tblTrans[Quantity],69)),"")</f>
        <v/>
      </c>
      <c r="E70" t="str">
        <f>IFERROR(IF(OR(INDEX(tblTrans[ProductID],69)="",ISNUMBER(SEARCH("ProductID",INDEX(tblTrans[ProductID],69)))),"",INDEX(tblTrans[Type],69)),"")</f>
        <v/>
      </c>
      <c r="F70" t="str">
        <f>IFERROR(IF(OR(INDEX(tblTrans[ProductID],69)="",ISNUMBER(SEARCH("ProductID",INDEX(tblTrans[ProductID],69)))),"",_xlfn.XLOOKUP(B70,tblProducts[ProductID],tblProducts[ProductName],"")),"")</f>
        <v/>
      </c>
      <c r="G70" t="str">
        <f>IFERROR(IF(OR(INDEX(tblTrans[ProductID],69)="",ISNUMBER(SEARCH("ProductID",INDEX(tblTrans[ProductID],69)))),"",_xlfn.XLOOKUP(B70,tblProducts[ProductID],tblProducts[Category],"")),"")</f>
        <v/>
      </c>
      <c r="H70" t="str">
        <f>IFERROR(IF(OR(INDEX(tblTrans[ProductID],69)="",ISNUMBER(SEARCH("ProductID",INDEX(tblTrans[ProductID],69)))),"",_xlfn.XLOOKUP(B70,tblProducts[ProductID],tblProducts[Supplier],"")),"")</f>
        <v/>
      </c>
      <c r="I70" t="str">
        <f>IFERROR(IF(OR(INDEX(tblTrans[ProductID],69)="",ISNUMBER(SEARCH("ProductID",INDEX(tblTrans[ProductID],69)))),"",D70*_xlfn.XLOOKUP(B70,tblProducts[ProductID],tblProducts[UnitCost],0)),"")</f>
        <v/>
      </c>
    </row>
    <row r="71" spans="1:9" x14ac:dyDescent="0.3">
      <c r="A71" s="5" t="str">
        <f>IFERROR(IF(OR(INDEX(tblTrans[ProductID],70)="",ISNUMBER(SEARCH("ProductID",INDEX(tblTrans[ProductID],70)))),"",INDEX(tblTrans[Date],70)),"")</f>
        <v/>
      </c>
      <c r="B71" t="str">
        <f>IFERROR(IF(OR(INDEX(tblTrans[ProductID],70)="",ISNUMBER(SEARCH("ProductID",INDEX(tblTrans[ProductID],70)))),"",INDEX(tblTrans[ProductID],70)),"")</f>
        <v/>
      </c>
      <c r="C71" t="str">
        <f>IFERROR(IF(OR(INDEX(tblTrans[ProductID],70)="",ISNUMBER(SEARCH("ProductID",INDEX(tblTrans[ProductID],70)))),"",INDEX(tblTrans[Location],70)),"")</f>
        <v/>
      </c>
      <c r="D71" t="str">
        <f>IFERROR(IF(OR(INDEX(tblTrans[ProductID],70)="",ISNUMBER(SEARCH("ProductID",INDEX(tblTrans[ProductID],70)))),"",INDEX(tblTrans[Quantity],70)),"")</f>
        <v/>
      </c>
      <c r="E71" t="str">
        <f>IFERROR(IF(OR(INDEX(tblTrans[ProductID],70)="",ISNUMBER(SEARCH("ProductID",INDEX(tblTrans[ProductID],70)))),"",INDEX(tblTrans[Type],70)),"")</f>
        <v/>
      </c>
      <c r="F71" t="str">
        <f>IFERROR(IF(OR(INDEX(tblTrans[ProductID],70)="",ISNUMBER(SEARCH("ProductID",INDEX(tblTrans[ProductID],70)))),"",_xlfn.XLOOKUP(B71,tblProducts[ProductID],tblProducts[ProductName],"")),"")</f>
        <v/>
      </c>
      <c r="G71" t="str">
        <f>IFERROR(IF(OR(INDEX(tblTrans[ProductID],70)="",ISNUMBER(SEARCH("ProductID",INDEX(tblTrans[ProductID],70)))),"",_xlfn.XLOOKUP(B71,tblProducts[ProductID],tblProducts[Category],"")),"")</f>
        <v/>
      </c>
      <c r="H71" t="str">
        <f>IFERROR(IF(OR(INDEX(tblTrans[ProductID],70)="",ISNUMBER(SEARCH("ProductID",INDEX(tblTrans[ProductID],70)))),"",_xlfn.XLOOKUP(B71,tblProducts[ProductID],tblProducts[Supplier],"")),"")</f>
        <v/>
      </c>
      <c r="I71" t="str">
        <f>IFERROR(IF(OR(INDEX(tblTrans[ProductID],70)="",ISNUMBER(SEARCH("ProductID",INDEX(tblTrans[ProductID],70)))),"",D71*_xlfn.XLOOKUP(B71,tblProducts[ProductID],tblProducts[UnitCost],0)),"")</f>
        <v/>
      </c>
    </row>
    <row r="72" spans="1:9" x14ac:dyDescent="0.3">
      <c r="A72" s="5" t="str">
        <f>IFERROR(IF(OR(INDEX(tblTrans[ProductID],71)="",ISNUMBER(SEARCH("ProductID",INDEX(tblTrans[ProductID],71)))),"",INDEX(tblTrans[Date],71)),"")</f>
        <v/>
      </c>
      <c r="B72" t="str">
        <f>IFERROR(IF(OR(INDEX(tblTrans[ProductID],71)="",ISNUMBER(SEARCH("ProductID",INDEX(tblTrans[ProductID],71)))),"",INDEX(tblTrans[ProductID],71)),"")</f>
        <v/>
      </c>
      <c r="C72" t="str">
        <f>IFERROR(IF(OR(INDEX(tblTrans[ProductID],71)="",ISNUMBER(SEARCH("ProductID",INDEX(tblTrans[ProductID],71)))),"",INDEX(tblTrans[Location],71)),"")</f>
        <v/>
      </c>
      <c r="D72" t="str">
        <f>IFERROR(IF(OR(INDEX(tblTrans[ProductID],71)="",ISNUMBER(SEARCH("ProductID",INDEX(tblTrans[ProductID],71)))),"",INDEX(tblTrans[Quantity],71)),"")</f>
        <v/>
      </c>
      <c r="E72" t="str">
        <f>IFERROR(IF(OR(INDEX(tblTrans[ProductID],71)="",ISNUMBER(SEARCH("ProductID",INDEX(tblTrans[ProductID],71)))),"",INDEX(tblTrans[Type],71)),"")</f>
        <v/>
      </c>
      <c r="F72" t="str">
        <f>IFERROR(IF(OR(INDEX(tblTrans[ProductID],71)="",ISNUMBER(SEARCH("ProductID",INDEX(tblTrans[ProductID],71)))),"",_xlfn.XLOOKUP(B72,tblProducts[ProductID],tblProducts[ProductName],"")),"")</f>
        <v/>
      </c>
      <c r="G72" t="str">
        <f>IFERROR(IF(OR(INDEX(tblTrans[ProductID],71)="",ISNUMBER(SEARCH("ProductID",INDEX(tblTrans[ProductID],71)))),"",_xlfn.XLOOKUP(B72,tblProducts[ProductID],tblProducts[Category],"")),"")</f>
        <v/>
      </c>
      <c r="H72" t="str">
        <f>IFERROR(IF(OR(INDEX(tblTrans[ProductID],71)="",ISNUMBER(SEARCH("ProductID",INDEX(tblTrans[ProductID],71)))),"",_xlfn.XLOOKUP(B72,tblProducts[ProductID],tblProducts[Supplier],"")),"")</f>
        <v/>
      </c>
      <c r="I72" t="str">
        <f>IFERROR(IF(OR(INDEX(tblTrans[ProductID],71)="",ISNUMBER(SEARCH("ProductID",INDEX(tblTrans[ProductID],71)))),"",D72*_xlfn.XLOOKUP(B72,tblProducts[ProductID],tblProducts[UnitCost],0)),"")</f>
        <v/>
      </c>
    </row>
    <row r="73" spans="1:9" x14ac:dyDescent="0.3">
      <c r="A73" s="5" t="str">
        <f>IFERROR(IF(OR(INDEX(tblTrans[ProductID],72)="",ISNUMBER(SEARCH("ProductID",INDEX(tblTrans[ProductID],72)))),"",INDEX(tblTrans[Date],72)),"")</f>
        <v/>
      </c>
      <c r="B73" t="str">
        <f>IFERROR(IF(OR(INDEX(tblTrans[ProductID],72)="",ISNUMBER(SEARCH("ProductID",INDEX(tblTrans[ProductID],72)))),"",INDEX(tblTrans[ProductID],72)),"")</f>
        <v/>
      </c>
      <c r="C73" t="str">
        <f>IFERROR(IF(OR(INDEX(tblTrans[ProductID],72)="",ISNUMBER(SEARCH("ProductID",INDEX(tblTrans[ProductID],72)))),"",INDEX(tblTrans[Location],72)),"")</f>
        <v/>
      </c>
      <c r="D73" t="str">
        <f>IFERROR(IF(OR(INDEX(tblTrans[ProductID],72)="",ISNUMBER(SEARCH("ProductID",INDEX(tblTrans[ProductID],72)))),"",INDEX(tblTrans[Quantity],72)),"")</f>
        <v/>
      </c>
      <c r="E73" t="str">
        <f>IFERROR(IF(OR(INDEX(tblTrans[ProductID],72)="",ISNUMBER(SEARCH("ProductID",INDEX(tblTrans[ProductID],72)))),"",INDEX(tblTrans[Type],72)),"")</f>
        <v/>
      </c>
      <c r="F73" t="str">
        <f>IFERROR(IF(OR(INDEX(tblTrans[ProductID],72)="",ISNUMBER(SEARCH("ProductID",INDEX(tblTrans[ProductID],72)))),"",_xlfn.XLOOKUP(B73,tblProducts[ProductID],tblProducts[ProductName],"")),"")</f>
        <v/>
      </c>
      <c r="G73" t="str">
        <f>IFERROR(IF(OR(INDEX(tblTrans[ProductID],72)="",ISNUMBER(SEARCH("ProductID",INDEX(tblTrans[ProductID],72)))),"",_xlfn.XLOOKUP(B73,tblProducts[ProductID],tblProducts[Category],"")),"")</f>
        <v/>
      </c>
      <c r="H73" t="str">
        <f>IFERROR(IF(OR(INDEX(tblTrans[ProductID],72)="",ISNUMBER(SEARCH("ProductID",INDEX(tblTrans[ProductID],72)))),"",_xlfn.XLOOKUP(B73,tblProducts[ProductID],tblProducts[Supplier],"")),"")</f>
        <v/>
      </c>
      <c r="I73" t="str">
        <f>IFERROR(IF(OR(INDEX(tblTrans[ProductID],72)="",ISNUMBER(SEARCH("ProductID",INDEX(tblTrans[ProductID],72)))),"",D73*_xlfn.XLOOKUP(B73,tblProducts[ProductID],tblProducts[UnitCost],0)),"")</f>
        <v/>
      </c>
    </row>
    <row r="74" spans="1:9" x14ac:dyDescent="0.3">
      <c r="A74" s="5" t="str">
        <f>IFERROR(IF(OR(INDEX(tblTrans[ProductID],73)="",ISNUMBER(SEARCH("ProductID",INDEX(tblTrans[ProductID],73)))),"",INDEX(tblTrans[Date],73)),"")</f>
        <v/>
      </c>
      <c r="B74" t="str">
        <f>IFERROR(IF(OR(INDEX(tblTrans[ProductID],73)="",ISNUMBER(SEARCH("ProductID",INDEX(tblTrans[ProductID],73)))),"",INDEX(tblTrans[ProductID],73)),"")</f>
        <v/>
      </c>
      <c r="C74" t="str">
        <f>IFERROR(IF(OR(INDEX(tblTrans[ProductID],73)="",ISNUMBER(SEARCH("ProductID",INDEX(tblTrans[ProductID],73)))),"",INDEX(tblTrans[Location],73)),"")</f>
        <v/>
      </c>
      <c r="D74" t="str">
        <f>IFERROR(IF(OR(INDEX(tblTrans[ProductID],73)="",ISNUMBER(SEARCH("ProductID",INDEX(tblTrans[ProductID],73)))),"",INDEX(tblTrans[Quantity],73)),"")</f>
        <v/>
      </c>
      <c r="E74" t="str">
        <f>IFERROR(IF(OR(INDEX(tblTrans[ProductID],73)="",ISNUMBER(SEARCH("ProductID",INDEX(tblTrans[ProductID],73)))),"",INDEX(tblTrans[Type],73)),"")</f>
        <v/>
      </c>
      <c r="F74" t="str">
        <f>IFERROR(IF(OR(INDEX(tblTrans[ProductID],73)="",ISNUMBER(SEARCH("ProductID",INDEX(tblTrans[ProductID],73)))),"",_xlfn.XLOOKUP(B74,tblProducts[ProductID],tblProducts[ProductName],"")),"")</f>
        <v/>
      </c>
      <c r="G74" t="str">
        <f>IFERROR(IF(OR(INDEX(tblTrans[ProductID],73)="",ISNUMBER(SEARCH("ProductID",INDEX(tblTrans[ProductID],73)))),"",_xlfn.XLOOKUP(B74,tblProducts[ProductID],tblProducts[Category],"")),"")</f>
        <v/>
      </c>
      <c r="H74" t="str">
        <f>IFERROR(IF(OR(INDEX(tblTrans[ProductID],73)="",ISNUMBER(SEARCH("ProductID",INDEX(tblTrans[ProductID],73)))),"",_xlfn.XLOOKUP(B74,tblProducts[ProductID],tblProducts[Supplier],"")),"")</f>
        <v/>
      </c>
      <c r="I74" t="str">
        <f>IFERROR(IF(OR(INDEX(tblTrans[ProductID],73)="",ISNUMBER(SEARCH("ProductID",INDEX(tblTrans[ProductID],73)))),"",D74*_xlfn.XLOOKUP(B74,tblProducts[ProductID],tblProducts[UnitCost],0)),"")</f>
        <v/>
      </c>
    </row>
    <row r="75" spans="1:9" x14ac:dyDescent="0.3">
      <c r="A75" s="5" t="str">
        <f>IFERROR(IF(OR(INDEX(tblTrans[ProductID],74)="",ISNUMBER(SEARCH("ProductID",INDEX(tblTrans[ProductID],74)))),"",INDEX(tblTrans[Date],74)),"")</f>
        <v/>
      </c>
      <c r="B75" t="str">
        <f>IFERROR(IF(OR(INDEX(tblTrans[ProductID],74)="",ISNUMBER(SEARCH("ProductID",INDEX(tblTrans[ProductID],74)))),"",INDEX(tblTrans[ProductID],74)),"")</f>
        <v/>
      </c>
      <c r="C75" t="str">
        <f>IFERROR(IF(OR(INDEX(tblTrans[ProductID],74)="",ISNUMBER(SEARCH("ProductID",INDEX(tblTrans[ProductID],74)))),"",INDEX(tblTrans[Location],74)),"")</f>
        <v/>
      </c>
      <c r="D75" t="str">
        <f>IFERROR(IF(OR(INDEX(tblTrans[ProductID],74)="",ISNUMBER(SEARCH("ProductID",INDEX(tblTrans[ProductID],74)))),"",INDEX(tblTrans[Quantity],74)),"")</f>
        <v/>
      </c>
      <c r="E75" t="str">
        <f>IFERROR(IF(OR(INDEX(tblTrans[ProductID],74)="",ISNUMBER(SEARCH("ProductID",INDEX(tblTrans[ProductID],74)))),"",INDEX(tblTrans[Type],74)),"")</f>
        <v/>
      </c>
      <c r="F75" t="str">
        <f>IFERROR(IF(OR(INDEX(tblTrans[ProductID],74)="",ISNUMBER(SEARCH("ProductID",INDEX(tblTrans[ProductID],74)))),"",_xlfn.XLOOKUP(B75,tblProducts[ProductID],tblProducts[ProductName],"")),"")</f>
        <v/>
      </c>
      <c r="G75" t="str">
        <f>IFERROR(IF(OR(INDEX(tblTrans[ProductID],74)="",ISNUMBER(SEARCH("ProductID",INDEX(tblTrans[ProductID],74)))),"",_xlfn.XLOOKUP(B75,tblProducts[ProductID],tblProducts[Category],"")),"")</f>
        <v/>
      </c>
      <c r="H75" t="str">
        <f>IFERROR(IF(OR(INDEX(tblTrans[ProductID],74)="",ISNUMBER(SEARCH("ProductID",INDEX(tblTrans[ProductID],74)))),"",_xlfn.XLOOKUP(B75,tblProducts[ProductID],tblProducts[Supplier],"")),"")</f>
        <v/>
      </c>
      <c r="I75" t="str">
        <f>IFERROR(IF(OR(INDEX(tblTrans[ProductID],74)="",ISNUMBER(SEARCH("ProductID",INDEX(tblTrans[ProductID],74)))),"",D75*_xlfn.XLOOKUP(B75,tblProducts[ProductID],tblProducts[UnitCost],0)),"")</f>
        <v/>
      </c>
    </row>
    <row r="76" spans="1:9" x14ac:dyDescent="0.3">
      <c r="A76" s="5" t="str">
        <f>IFERROR(IF(OR(INDEX(tblTrans[ProductID],75)="",ISNUMBER(SEARCH("ProductID",INDEX(tblTrans[ProductID],75)))),"",INDEX(tblTrans[Date],75)),"")</f>
        <v/>
      </c>
      <c r="B76" t="str">
        <f>IFERROR(IF(OR(INDEX(tblTrans[ProductID],75)="",ISNUMBER(SEARCH("ProductID",INDEX(tblTrans[ProductID],75)))),"",INDEX(tblTrans[ProductID],75)),"")</f>
        <v/>
      </c>
      <c r="C76" t="str">
        <f>IFERROR(IF(OR(INDEX(tblTrans[ProductID],75)="",ISNUMBER(SEARCH("ProductID",INDEX(tblTrans[ProductID],75)))),"",INDEX(tblTrans[Location],75)),"")</f>
        <v/>
      </c>
      <c r="D76" t="str">
        <f>IFERROR(IF(OR(INDEX(tblTrans[ProductID],75)="",ISNUMBER(SEARCH("ProductID",INDEX(tblTrans[ProductID],75)))),"",INDEX(tblTrans[Quantity],75)),"")</f>
        <v/>
      </c>
      <c r="E76" t="str">
        <f>IFERROR(IF(OR(INDEX(tblTrans[ProductID],75)="",ISNUMBER(SEARCH("ProductID",INDEX(tblTrans[ProductID],75)))),"",INDEX(tblTrans[Type],75)),"")</f>
        <v/>
      </c>
      <c r="F76" t="str">
        <f>IFERROR(IF(OR(INDEX(tblTrans[ProductID],75)="",ISNUMBER(SEARCH("ProductID",INDEX(tblTrans[ProductID],75)))),"",_xlfn.XLOOKUP(B76,tblProducts[ProductID],tblProducts[ProductName],"")),"")</f>
        <v/>
      </c>
      <c r="G76" t="str">
        <f>IFERROR(IF(OR(INDEX(tblTrans[ProductID],75)="",ISNUMBER(SEARCH("ProductID",INDEX(tblTrans[ProductID],75)))),"",_xlfn.XLOOKUP(B76,tblProducts[ProductID],tblProducts[Category],"")),"")</f>
        <v/>
      </c>
      <c r="H76" t="str">
        <f>IFERROR(IF(OR(INDEX(tblTrans[ProductID],75)="",ISNUMBER(SEARCH("ProductID",INDEX(tblTrans[ProductID],75)))),"",_xlfn.XLOOKUP(B76,tblProducts[ProductID],tblProducts[Supplier],"")),"")</f>
        <v/>
      </c>
      <c r="I76" t="str">
        <f>IFERROR(IF(OR(INDEX(tblTrans[ProductID],75)="",ISNUMBER(SEARCH("ProductID",INDEX(tblTrans[ProductID],75)))),"",D76*_xlfn.XLOOKUP(B76,tblProducts[ProductID],tblProducts[UnitCost],0)),"")</f>
        <v/>
      </c>
    </row>
    <row r="77" spans="1:9" x14ac:dyDescent="0.3">
      <c r="A77" s="5" t="str">
        <f>IFERROR(IF(OR(INDEX(tblTrans[ProductID],76)="",ISNUMBER(SEARCH("ProductID",INDEX(tblTrans[ProductID],76)))),"",INDEX(tblTrans[Date],76)),"")</f>
        <v/>
      </c>
      <c r="B77" t="str">
        <f>IFERROR(IF(OR(INDEX(tblTrans[ProductID],76)="",ISNUMBER(SEARCH("ProductID",INDEX(tblTrans[ProductID],76)))),"",INDEX(tblTrans[ProductID],76)),"")</f>
        <v/>
      </c>
      <c r="C77" t="str">
        <f>IFERROR(IF(OR(INDEX(tblTrans[ProductID],76)="",ISNUMBER(SEARCH("ProductID",INDEX(tblTrans[ProductID],76)))),"",INDEX(tblTrans[Location],76)),"")</f>
        <v/>
      </c>
      <c r="D77" t="str">
        <f>IFERROR(IF(OR(INDEX(tblTrans[ProductID],76)="",ISNUMBER(SEARCH("ProductID",INDEX(tblTrans[ProductID],76)))),"",INDEX(tblTrans[Quantity],76)),"")</f>
        <v/>
      </c>
      <c r="E77" t="str">
        <f>IFERROR(IF(OR(INDEX(tblTrans[ProductID],76)="",ISNUMBER(SEARCH("ProductID",INDEX(tblTrans[ProductID],76)))),"",INDEX(tblTrans[Type],76)),"")</f>
        <v/>
      </c>
      <c r="F77" t="str">
        <f>IFERROR(IF(OR(INDEX(tblTrans[ProductID],76)="",ISNUMBER(SEARCH("ProductID",INDEX(tblTrans[ProductID],76)))),"",_xlfn.XLOOKUP(B77,tblProducts[ProductID],tblProducts[ProductName],"")),"")</f>
        <v/>
      </c>
      <c r="G77" t="str">
        <f>IFERROR(IF(OR(INDEX(tblTrans[ProductID],76)="",ISNUMBER(SEARCH("ProductID",INDEX(tblTrans[ProductID],76)))),"",_xlfn.XLOOKUP(B77,tblProducts[ProductID],tblProducts[Category],"")),"")</f>
        <v/>
      </c>
      <c r="H77" t="str">
        <f>IFERROR(IF(OR(INDEX(tblTrans[ProductID],76)="",ISNUMBER(SEARCH("ProductID",INDEX(tblTrans[ProductID],76)))),"",_xlfn.XLOOKUP(B77,tblProducts[ProductID],tblProducts[Supplier],"")),"")</f>
        <v/>
      </c>
      <c r="I77" t="str">
        <f>IFERROR(IF(OR(INDEX(tblTrans[ProductID],76)="",ISNUMBER(SEARCH("ProductID",INDEX(tblTrans[ProductID],76)))),"",D77*_xlfn.XLOOKUP(B77,tblProducts[ProductID],tblProducts[UnitCost],0)),"")</f>
        <v/>
      </c>
    </row>
    <row r="78" spans="1:9" x14ac:dyDescent="0.3">
      <c r="A78" s="5" t="str">
        <f>IFERROR(IF(OR(INDEX(tblTrans[ProductID],77)="",ISNUMBER(SEARCH("ProductID",INDEX(tblTrans[ProductID],77)))),"",INDEX(tblTrans[Date],77)),"")</f>
        <v/>
      </c>
      <c r="B78" t="str">
        <f>IFERROR(IF(OR(INDEX(tblTrans[ProductID],77)="",ISNUMBER(SEARCH("ProductID",INDEX(tblTrans[ProductID],77)))),"",INDEX(tblTrans[ProductID],77)),"")</f>
        <v/>
      </c>
      <c r="C78" t="str">
        <f>IFERROR(IF(OR(INDEX(tblTrans[ProductID],77)="",ISNUMBER(SEARCH("ProductID",INDEX(tblTrans[ProductID],77)))),"",INDEX(tblTrans[Location],77)),"")</f>
        <v/>
      </c>
      <c r="D78" t="str">
        <f>IFERROR(IF(OR(INDEX(tblTrans[ProductID],77)="",ISNUMBER(SEARCH("ProductID",INDEX(tblTrans[ProductID],77)))),"",INDEX(tblTrans[Quantity],77)),"")</f>
        <v/>
      </c>
      <c r="E78" t="str">
        <f>IFERROR(IF(OR(INDEX(tblTrans[ProductID],77)="",ISNUMBER(SEARCH("ProductID",INDEX(tblTrans[ProductID],77)))),"",INDEX(tblTrans[Type],77)),"")</f>
        <v/>
      </c>
      <c r="F78" t="str">
        <f>IFERROR(IF(OR(INDEX(tblTrans[ProductID],77)="",ISNUMBER(SEARCH("ProductID",INDEX(tblTrans[ProductID],77)))),"",_xlfn.XLOOKUP(B78,tblProducts[ProductID],tblProducts[ProductName],"")),"")</f>
        <v/>
      </c>
      <c r="G78" t="str">
        <f>IFERROR(IF(OR(INDEX(tblTrans[ProductID],77)="",ISNUMBER(SEARCH("ProductID",INDEX(tblTrans[ProductID],77)))),"",_xlfn.XLOOKUP(B78,tblProducts[ProductID],tblProducts[Category],"")),"")</f>
        <v/>
      </c>
      <c r="H78" t="str">
        <f>IFERROR(IF(OR(INDEX(tblTrans[ProductID],77)="",ISNUMBER(SEARCH("ProductID",INDEX(tblTrans[ProductID],77)))),"",_xlfn.XLOOKUP(B78,tblProducts[ProductID],tblProducts[Supplier],"")),"")</f>
        <v/>
      </c>
      <c r="I78" t="str">
        <f>IFERROR(IF(OR(INDEX(tblTrans[ProductID],77)="",ISNUMBER(SEARCH("ProductID",INDEX(tblTrans[ProductID],77)))),"",D78*_xlfn.XLOOKUP(B78,tblProducts[ProductID],tblProducts[UnitCost],0)),"")</f>
        <v/>
      </c>
    </row>
    <row r="79" spans="1:9" x14ac:dyDescent="0.3">
      <c r="A79" s="5" t="str">
        <f>IFERROR(IF(OR(INDEX(tblTrans[ProductID],78)="",ISNUMBER(SEARCH("ProductID",INDEX(tblTrans[ProductID],78)))),"",INDEX(tblTrans[Date],78)),"")</f>
        <v/>
      </c>
      <c r="B79" t="str">
        <f>IFERROR(IF(OR(INDEX(tblTrans[ProductID],78)="",ISNUMBER(SEARCH("ProductID",INDEX(tblTrans[ProductID],78)))),"",INDEX(tblTrans[ProductID],78)),"")</f>
        <v/>
      </c>
      <c r="C79" t="str">
        <f>IFERROR(IF(OR(INDEX(tblTrans[ProductID],78)="",ISNUMBER(SEARCH("ProductID",INDEX(tblTrans[ProductID],78)))),"",INDEX(tblTrans[Location],78)),"")</f>
        <v/>
      </c>
      <c r="D79" t="str">
        <f>IFERROR(IF(OR(INDEX(tblTrans[ProductID],78)="",ISNUMBER(SEARCH("ProductID",INDEX(tblTrans[ProductID],78)))),"",INDEX(tblTrans[Quantity],78)),"")</f>
        <v/>
      </c>
      <c r="E79" t="str">
        <f>IFERROR(IF(OR(INDEX(tblTrans[ProductID],78)="",ISNUMBER(SEARCH("ProductID",INDEX(tblTrans[ProductID],78)))),"",INDEX(tblTrans[Type],78)),"")</f>
        <v/>
      </c>
      <c r="F79" t="str">
        <f>IFERROR(IF(OR(INDEX(tblTrans[ProductID],78)="",ISNUMBER(SEARCH("ProductID",INDEX(tblTrans[ProductID],78)))),"",_xlfn.XLOOKUP(B79,tblProducts[ProductID],tblProducts[ProductName],"")),"")</f>
        <v/>
      </c>
      <c r="G79" t="str">
        <f>IFERROR(IF(OR(INDEX(tblTrans[ProductID],78)="",ISNUMBER(SEARCH("ProductID",INDEX(tblTrans[ProductID],78)))),"",_xlfn.XLOOKUP(B79,tblProducts[ProductID],tblProducts[Category],"")),"")</f>
        <v/>
      </c>
      <c r="H79" t="str">
        <f>IFERROR(IF(OR(INDEX(tblTrans[ProductID],78)="",ISNUMBER(SEARCH("ProductID",INDEX(tblTrans[ProductID],78)))),"",_xlfn.XLOOKUP(B79,tblProducts[ProductID],tblProducts[Supplier],"")),"")</f>
        <v/>
      </c>
      <c r="I79" t="str">
        <f>IFERROR(IF(OR(INDEX(tblTrans[ProductID],78)="",ISNUMBER(SEARCH("ProductID",INDEX(tblTrans[ProductID],78)))),"",D79*_xlfn.XLOOKUP(B79,tblProducts[ProductID],tblProducts[UnitCost],0)),"")</f>
        <v/>
      </c>
    </row>
    <row r="80" spans="1:9" x14ac:dyDescent="0.3">
      <c r="A80" s="5" t="str">
        <f>IFERROR(IF(OR(INDEX(tblTrans[ProductID],79)="",ISNUMBER(SEARCH("ProductID",INDEX(tblTrans[ProductID],79)))),"",INDEX(tblTrans[Date],79)),"")</f>
        <v/>
      </c>
      <c r="B80" t="str">
        <f>IFERROR(IF(OR(INDEX(tblTrans[ProductID],79)="",ISNUMBER(SEARCH("ProductID",INDEX(tblTrans[ProductID],79)))),"",INDEX(tblTrans[ProductID],79)),"")</f>
        <v/>
      </c>
      <c r="C80" t="str">
        <f>IFERROR(IF(OR(INDEX(tblTrans[ProductID],79)="",ISNUMBER(SEARCH("ProductID",INDEX(tblTrans[ProductID],79)))),"",INDEX(tblTrans[Location],79)),"")</f>
        <v/>
      </c>
      <c r="D80" t="str">
        <f>IFERROR(IF(OR(INDEX(tblTrans[ProductID],79)="",ISNUMBER(SEARCH("ProductID",INDEX(tblTrans[ProductID],79)))),"",INDEX(tblTrans[Quantity],79)),"")</f>
        <v/>
      </c>
      <c r="E80" t="str">
        <f>IFERROR(IF(OR(INDEX(tblTrans[ProductID],79)="",ISNUMBER(SEARCH("ProductID",INDEX(tblTrans[ProductID],79)))),"",INDEX(tblTrans[Type],79)),"")</f>
        <v/>
      </c>
      <c r="F80" t="str">
        <f>IFERROR(IF(OR(INDEX(tblTrans[ProductID],79)="",ISNUMBER(SEARCH("ProductID",INDEX(tblTrans[ProductID],79)))),"",_xlfn.XLOOKUP(B80,tblProducts[ProductID],tblProducts[ProductName],"")),"")</f>
        <v/>
      </c>
      <c r="G80" t="str">
        <f>IFERROR(IF(OR(INDEX(tblTrans[ProductID],79)="",ISNUMBER(SEARCH("ProductID",INDEX(tblTrans[ProductID],79)))),"",_xlfn.XLOOKUP(B80,tblProducts[ProductID],tblProducts[Category],"")),"")</f>
        <v/>
      </c>
      <c r="H80" t="str">
        <f>IFERROR(IF(OR(INDEX(tblTrans[ProductID],79)="",ISNUMBER(SEARCH("ProductID",INDEX(tblTrans[ProductID],79)))),"",_xlfn.XLOOKUP(B80,tblProducts[ProductID],tblProducts[Supplier],"")),"")</f>
        <v/>
      </c>
      <c r="I80" t="str">
        <f>IFERROR(IF(OR(INDEX(tblTrans[ProductID],79)="",ISNUMBER(SEARCH("ProductID",INDEX(tblTrans[ProductID],79)))),"",D80*_xlfn.XLOOKUP(B80,tblProducts[ProductID],tblProducts[UnitCost],0)),"")</f>
        <v/>
      </c>
    </row>
    <row r="81" spans="1:9" x14ac:dyDescent="0.3">
      <c r="A81" s="5" t="str">
        <f>IFERROR(IF(OR(INDEX(tblTrans[ProductID],80)="",ISNUMBER(SEARCH("ProductID",INDEX(tblTrans[ProductID],80)))),"",INDEX(tblTrans[Date],80)),"")</f>
        <v/>
      </c>
      <c r="B81" t="str">
        <f>IFERROR(IF(OR(INDEX(tblTrans[ProductID],80)="",ISNUMBER(SEARCH("ProductID",INDEX(tblTrans[ProductID],80)))),"",INDEX(tblTrans[ProductID],80)),"")</f>
        <v/>
      </c>
      <c r="C81" t="str">
        <f>IFERROR(IF(OR(INDEX(tblTrans[ProductID],80)="",ISNUMBER(SEARCH("ProductID",INDEX(tblTrans[ProductID],80)))),"",INDEX(tblTrans[Location],80)),"")</f>
        <v/>
      </c>
      <c r="D81" t="str">
        <f>IFERROR(IF(OR(INDEX(tblTrans[ProductID],80)="",ISNUMBER(SEARCH("ProductID",INDEX(tblTrans[ProductID],80)))),"",INDEX(tblTrans[Quantity],80)),"")</f>
        <v/>
      </c>
      <c r="E81" t="str">
        <f>IFERROR(IF(OR(INDEX(tblTrans[ProductID],80)="",ISNUMBER(SEARCH("ProductID",INDEX(tblTrans[ProductID],80)))),"",INDEX(tblTrans[Type],80)),"")</f>
        <v/>
      </c>
      <c r="F81" t="str">
        <f>IFERROR(IF(OR(INDEX(tblTrans[ProductID],80)="",ISNUMBER(SEARCH("ProductID",INDEX(tblTrans[ProductID],80)))),"",_xlfn.XLOOKUP(B81,tblProducts[ProductID],tblProducts[ProductName],"")),"")</f>
        <v/>
      </c>
      <c r="G81" t="str">
        <f>IFERROR(IF(OR(INDEX(tblTrans[ProductID],80)="",ISNUMBER(SEARCH("ProductID",INDEX(tblTrans[ProductID],80)))),"",_xlfn.XLOOKUP(B81,tblProducts[ProductID],tblProducts[Category],"")),"")</f>
        <v/>
      </c>
      <c r="H81" t="str">
        <f>IFERROR(IF(OR(INDEX(tblTrans[ProductID],80)="",ISNUMBER(SEARCH("ProductID",INDEX(tblTrans[ProductID],80)))),"",_xlfn.XLOOKUP(B81,tblProducts[ProductID],tblProducts[Supplier],"")),"")</f>
        <v/>
      </c>
      <c r="I81" t="str">
        <f>IFERROR(IF(OR(INDEX(tblTrans[ProductID],80)="",ISNUMBER(SEARCH("ProductID",INDEX(tblTrans[ProductID],80)))),"",D81*_xlfn.XLOOKUP(B81,tblProducts[ProductID],tblProducts[UnitCost],0)),"")</f>
        <v/>
      </c>
    </row>
    <row r="82" spans="1:9" x14ac:dyDescent="0.3">
      <c r="A82" s="5" t="str">
        <f>IFERROR(IF(OR(INDEX(tblTrans[ProductID],81)="",ISNUMBER(SEARCH("ProductID",INDEX(tblTrans[ProductID],81)))),"",INDEX(tblTrans[Date],81)),"")</f>
        <v/>
      </c>
      <c r="B82" t="str">
        <f>IFERROR(IF(OR(INDEX(tblTrans[ProductID],81)="",ISNUMBER(SEARCH("ProductID",INDEX(tblTrans[ProductID],81)))),"",INDEX(tblTrans[ProductID],81)),"")</f>
        <v/>
      </c>
      <c r="C82" t="str">
        <f>IFERROR(IF(OR(INDEX(tblTrans[ProductID],81)="",ISNUMBER(SEARCH("ProductID",INDEX(tblTrans[ProductID],81)))),"",INDEX(tblTrans[Location],81)),"")</f>
        <v/>
      </c>
      <c r="D82" t="str">
        <f>IFERROR(IF(OR(INDEX(tblTrans[ProductID],81)="",ISNUMBER(SEARCH("ProductID",INDEX(tblTrans[ProductID],81)))),"",INDEX(tblTrans[Quantity],81)),"")</f>
        <v/>
      </c>
      <c r="E82" t="str">
        <f>IFERROR(IF(OR(INDEX(tblTrans[ProductID],81)="",ISNUMBER(SEARCH("ProductID",INDEX(tblTrans[ProductID],81)))),"",INDEX(tblTrans[Type],81)),"")</f>
        <v/>
      </c>
      <c r="F82" t="str">
        <f>IFERROR(IF(OR(INDEX(tblTrans[ProductID],81)="",ISNUMBER(SEARCH("ProductID",INDEX(tblTrans[ProductID],81)))),"",_xlfn.XLOOKUP(B82,tblProducts[ProductID],tblProducts[ProductName],"")),"")</f>
        <v/>
      </c>
      <c r="G82" t="str">
        <f>IFERROR(IF(OR(INDEX(tblTrans[ProductID],81)="",ISNUMBER(SEARCH("ProductID",INDEX(tblTrans[ProductID],81)))),"",_xlfn.XLOOKUP(B82,tblProducts[ProductID],tblProducts[Category],"")),"")</f>
        <v/>
      </c>
      <c r="H82" t="str">
        <f>IFERROR(IF(OR(INDEX(tblTrans[ProductID],81)="",ISNUMBER(SEARCH("ProductID",INDEX(tblTrans[ProductID],81)))),"",_xlfn.XLOOKUP(B82,tblProducts[ProductID],tblProducts[Supplier],"")),"")</f>
        <v/>
      </c>
      <c r="I82" t="str">
        <f>IFERROR(IF(OR(INDEX(tblTrans[ProductID],81)="",ISNUMBER(SEARCH("ProductID",INDEX(tblTrans[ProductID],81)))),"",D82*_xlfn.XLOOKUP(B82,tblProducts[ProductID],tblProducts[UnitCost],0)),"")</f>
        <v/>
      </c>
    </row>
    <row r="83" spans="1:9" x14ac:dyDescent="0.3">
      <c r="A83" s="5" t="str">
        <f>IFERROR(IF(OR(INDEX(tblTrans[ProductID],82)="",ISNUMBER(SEARCH("ProductID",INDEX(tblTrans[ProductID],82)))),"",INDEX(tblTrans[Date],82)),"")</f>
        <v/>
      </c>
      <c r="B83" t="str">
        <f>IFERROR(IF(OR(INDEX(tblTrans[ProductID],82)="",ISNUMBER(SEARCH("ProductID",INDEX(tblTrans[ProductID],82)))),"",INDEX(tblTrans[ProductID],82)),"")</f>
        <v/>
      </c>
      <c r="C83" t="str">
        <f>IFERROR(IF(OR(INDEX(tblTrans[ProductID],82)="",ISNUMBER(SEARCH("ProductID",INDEX(tblTrans[ProductID],82)))),"",INDEX(tblTrans[Location],82)),"")</f>
        <v/>
      </c>
      <c r="D83" t="str">
        <f>IFERROR(IF(OR(INDEX(tblTrans[ProductID],82)="",ISNUMBER(SEARCH("ProductID",INDEX(tblTrans[ProductID],82)))),"",INDEX(tblTrans[Quantity],82)),"")</f>
        <v/>
      </c>
      <c r="E83" t="str">
        <f>IFERROR(IF(OR(INDEX(tblTrans[ProductID],82)="",ISNUMBER(SEARCH("ProductID",INDEX(tblTrans[ProductID],82)))),"",INDEX(tblTrans[Type],82)),"")</f>
        <v/>
      </c>
      <c r="F83" t="str">
        <f>IFERROR(IF(OR(INDEX(tblTrans[ProductID],82)="",ISNUMBER(SEARCH("ProductID",INDEX(tblTrans[ProductID],82)))),"",_xlfn.XLOOKUP(B83,tblProducts[ProductID],tblProducts[ProductName],"")),"")</f>
        <v/>
      </c>
      <c r="G83" t="str">
        <f>IFERROR(IF(OR(INDEX(tblTrans[ProductID],82)="",ISNUMBER(SEARCH("ProductID",INDEX(tblTrans[ProductID],82)))),"",_xlfn.XLOOKUP(B83,tblProducts[ProductID],tblProducts[Category],"")),"")</f>
        <v/>
      </c>
      <c r="H83" t="str">
        <f>IFERROR(IF(OR(INDEX(tblTrans[ProductID],82)="",ISNUMBER(SEARCH("ProductID",INDEX(tblTrans[ProductID],82)))),"",_xlfn.XLOOKUP(B83,tblProducts[ProductID],tblProducts[Supplier],"")),"")</f>
        <v/>
      </c>
      <c r="I83" t="str">
        <f>IFERROR(IF(OR(INDEX(tblTrans[ProductID],82)="",ISNUMBER(SEARCH("ProductID",INDEX(tblTrans[ProductID],82)))),"",D83*_xlfn.XLOOKUP(B83,tblProducts[ProductID],tblProducts[UnitCost],0)),"")</f>
        <v/>
      </c>
    </row>
    <row r="84" spans="1:9" x14ac:dyDescent="0.3">
      <c r="A84" s="5" t="str">
        <f>IFERROR(IF(OR(INDEX(tblTrans[ProductID],83)="",ISNUMBER(SEARCH("ProductID",INDEX(tblTrans[ProductID],83)))),"",INDEX(tblTrans[Date],83)),"")</f>
        <v/>
      </c>
      <c r="B84" t="str">
        <f>IFERROR(IF(OR(INDEX(tblTrans[ProductID],83)="",ISNUMBER(SEARCH("ProductID",INDEX(tblTrans[ProductID],83)))),"",INDEX(tblTrans[ProductID],83)),"")</f>
        <v/>
      </c>
      <c r="C84" t="str">
        <f>IFERROR(IF(OR(INDEX(tblTrans[ProductID],83)="",ISNUMBER(SEARCH("ProductID",INDEX(tblTrans[ProductID],83)))),"",INDEX(tblTrans[Location],83)),"")</f>
        <v/>
      </c>
      <c r="D84" t="str">
        <f>IFERROR(IF(OR(INDEX(tblTrans[ProductID],83)="",ISNUMBER(SEARCH("ProductID",INDEX(tblTrans[ProductID],83)))),"",INDEX(tblTrans[Quantity],83)),"")</f>
        <v/>
      </c>
      <c r="E84" t="str">
        <f>IFERROR(IF(OR(INDEX(tblTrans[ProductID],83)="",ISNUMBER(SEARCH("ProductID",INDEX(tblTrans[ProductID],83)))),"",INDEX(tblTrans[Type],83)),"")</f>
        <v/>
      </c>
      <c r="F84" t="str">
        <f>IFERROR(IF(OR(INDEX(tblTrans[ProductID],83)="",ISNUMBER(SEARCH("ProductID",INDEX(tblTrans[ProductID],83)))),"",_xlfn.XLOOKUP(B84,tblProducts[ProductID],tblProducts[ProductName],"")),"")</f>
        <v/>
      </c>
      <c r="G84" t="str">
        <f>IFERROR(IF(OR(INDEX(tblTrans[ProductID],83)="",ISNUMBER(SEARCH("ProductID",INDEX(tblTrans[ProductID],83)))),"",_xlfn.XLOOKUP(B84,tblProducts[ProductID],tblProducts[Category],"")),"")</f>
        <v/>
      </c>
      <c r="H84" t="str">
        <f>IFERROR(IF(OR(INDEX(tblTrans[ProductID],83)="",ISNUMBER(SEARCH("ProductID",INDEX(tblTrans[ProductID],83)))),"",_xlfn.XLOOKUP(B84,tblProducts[ProductID],tblProducts[Supplier],"")),"")</f>
        <v/>
      </c>
      <c r="I84" t="str">
        <f>IFERROR(IF(OR(INDEX(tblTrans[ProductID],83)="",ISNUMBER(SEARCH("ProductID",INDEX(tblTrans[ProductID],83)))),"",D84*_xlfn.XLOOKUP(B84,tblProducts[ProductID],tblProducts[UnitCost],0)),"")</f>
        <v/>
      </c>
    </row>
    <row r="85" spans="1:9" x14ac:dyDescent="0.3">
      <c r="A85" s="5" t="str">
        <f>IFERROR(IF(OR(INDEX(tblTrans[ProductID],84)="",ISNUMBER(SEARCH("ProductID",INDEX(tblTrans[ProductID],84)))),"",INDEX(tblTrans[Date],84)),"")</f>
        <v/>
      </c>
      <c r="B85" t="str">
        <f>IFERROR(IF(OR(INDEX(tblTrans[ProductID],84)="",ISNUMBER(SEARCH("ProductID",INDEX(tblTrans[ProductID],84)))),"",INDEX(tblTrans[ProductID],84)),"")</f>
        <v/>
      </c>
      <c r="C85" t="str">
        <f>IFERROR(IF(OR(INDEX(tblTrans[ProductID],84)="",ISNUMBER(SEARCH("ProductID",INDEX(tblTrans[ProductID],84)))),"",INDEX(tblTrans[Location],84)),"")</f>
        <v/>
      </c>
      <c r="D85" t="str">
        <f>IFERROR(IF(OR(INDEX(tblTrans[ProductID],84)="",ISNUMBER(SEARCH("ProductID",INDEX(tblTrans[ProductID],84)))),"",INDEX(tblTrans[Quantity],84)),"")</f>
        <v/>
      </c>
      <c r="E85" t="str">
        <f>IFERROR(IF(OR(INDEX(tblTrans[ProductID],84)="",ISNUMBER(SEARCH("ProductID",INDEX(tblTrans[ProductID],84)))),"",INDEX(tblTrans[Type],84)),"")</f>
        <v/>
      </c>
      <c r="F85" t="str">
        <f>IFERROR(IF(OR(INDEX(tblTrans[ProductID],84)="",ISNUMBER(SEARCH("ProductID",INDEX(tblTrans[ProductID],84)))),"",_xlfn.XLOOKUP(B85,tblProducts[ProductID],tblProducts[ProductName],"")),"")</f>
        <v/>
      </c>
      <c r="G85" t="str">
        <f>IFERROR(IF(OR(INDEX(tblTrans[ProductID],84)="",ISNUMBER(SEARCH("ProductID",INDEX(tblTrans[ProductID],84)))),"",_xlfn.XLOOKUP(B85,tblProducts[ProductID],tblProducts[Category],"")),"")</f>
        <v/>
      </c>
      <c r="H85" t="str">
        <f>IFERROR(IF(OR(INDEX(tblTrans[ProductID],84)="",ISNUMBER(SEARCH("ProductID",INDEX(tblTrans[ProductID],84)))),"",_xlfn.XLOOKUP(B85,tblProducts[ProductID],tblProducts[Supplier],"")),"")</f>
        <v/>
      </c>
      <c r="I85" t="str">
        <f>IFERROR(IF(OR(INDEX(tblTrans[ProductID],84)="",ISNUMBER(SEARCH("ProductID",INDEX(tblTrans[ProductID],84)))),"",D85*_xlfn.XLOOKUP(B85,tblProducts[ProductID],tblProducts[UnitCost],0)),"")</f>
        <v/>
      </c>
    </row>
    <row r="86" spans="1:9" x14ac:dyDescent="0.3">
      <c r="A86" s="5" t="str">
        <f>IFERROR(IF(OR(INDEX(tblTrans[ProductID],85)="",ISNUMBER(SEARCH("ProductID",INDEX(tblTrans[ProductID],85)))),"",INDEX(tblTrans[Date],85)),"")</f>
        <v/>
      </c>
      <c r="B86" t="str">
        <f>IFERROR(IF(OR(INDEX(tblTrans[ProductID],85)="",ISNUMBER(SEARCH("ProductID",INDEX(tblTrans[ProductID],85)))),"",INDEX(tblTrans[ProductID],85)),"")</f>
        <v/>
      </c>
      <c r="C86" t="str">
        <f>IFERROR(IF(OR(INDEX(tblTrans[ProductID],85)="",ISNUMBER(SEARCH("ProductID",INDEX(tblTrans[ProductID],85)))),"",INDEX(tblTrans[Location],85)),"")</f>
        <v/>
      </c>
      <c r="D86" t="str">
        <f>IFERROR(IF(OR(INDEX(tblTrans[ProductID],85)="",ISNUMBER(SEARCH("ProductID",INDEX(tblTrans[ProductID],85)))),"",INDEX(tblTrans[Quantity],85)),"")</f>
        <v/>
      </c>
      <c r="E86" t="str">
        <f>IFERROR(IF(OR(INDEX(tblTrans[ProductID],85)="",ISNUMBER(SEARCH("ProductID",INDEX(tblTrans[ProductID],85)))),"",INDEX(tblTrans[Type],85)),"")</f>
        <v/>
      </c>
      <c r="F86" t="str">
        <f>IFERROR(IF(OR(INDEX(tblTrans[ProductID],85)="",ISNUMBER(SEARCH("ProductID",INDEX(tblTrans[ProductID],85)))),"",_xlfn.XLOOKUP(B86,tblProducts[ProductID],tblProducts[ProductName],"")),"")</f>
        <v/>
      </c>
      <c r="G86" t="str">
        <f>IFERROR(IF(OR(INDEX(tblTrans[ProductID],85)="",ISNUMBER(SEARCH("ProductID",INDEX(tblTrans[ProductID],85)))),"",_xlfn.XLOOKUP(B86,tblProducts[ProductID],tblProducts[Category],"")),"")</f>
        <v/>
      </c>
      <c r="H86" t="str">
        <f>IFERROR(IF(OR(INDEX(tblTrans[ProductID],85)="",ISNUMBER(SEARCH("ProductID",INDEX(tblTrans[ProductID],85)))),"",_xlfn.XLOOKUP(B86,tblProducts[ProductID],tblProducts[Supplier],"")),"")</f>
        <v/>
      </c>
      <c r="I86" t="str">
        <f>IFERROR(IF(OR(INDEX(tblTrans[ProductID],85)="",ISNUMBER(SEARCH("ProductID",INDEX(tblTrans[ProductID],85)))),"",D86*_xlfn.XLOOKUP(B86,tblProducts[ProductID],tblProducts[UnitCost],0)),"")</f>
        <v/>
      </c>
    </row>
    <row r="87" spans="1:9" x14ac:dyDescent="0.3">
      <c r="A87" s="5" t="str">
        <f>IFERROR(IF(OR(INDEX(tblTrans[ProductID],86)="",ISNUMBER(SEARCH("ProductID",INDEX(tblTrans[ProductID],86)))),"",INDEX(tblTrans[Date],86)),"")</f>
        <v/>
      </c>
      <c r="B87" t="str">
        <f>IFERROR(IF(OR(INDEX(tblTrans[ProductID],86)="",ISNUMBER(SEARCH("ProductID",INDEX(tblTrans[ProductID],86)))),"",INDEX(tblTrans[ProductID],86)),"")</f>
        <v/>
      </c>
      <c r="C87" t="str">
        <f>IFERROR(IF(OR(INDEX(tblTrans[ProductID],86)="",ISNUMBER(SEARCH("ProductID",INDEX(tblTrans[ProductID],86)))),"",INDEX(tblTrans[Location],86)),"")</f>
        <v/>
      </c>
      <c r="D87" t="str">
        <f>IFERROR(IF(OR(INDEX(tblTrans[ProductID],86)="",ISNUMBER(SEARCH("ProductID",INDEX(tblTrans[ProductID],86)))),"",INDEX(tblTrans[Quantity],86)),"")</f>
        <v/>
      </c>
      <c r="E87" t="str">
        <f>IFERROR(IF(OR(INDEX(tblTrans[ProductID],86)="",ISNUMBER(SEARCH("ProductID",INDEX(tblTrans[ProductID],86)))),"",INDEX(tblTrans[Type],86)),"")</f>
        <v/>
      </c>
      <c r="F87" t="str">
        <f>IFERROR(IF(OR(INDEX(tblTrans[ProductID],86)="",ISNUMBER(SEARCH("ProductID",INDEX(tblTrans[ProductID],86)))),"",_xlfn.XLOOKUP(B87,tblProducts[ProductID],tblProducts[ProductName],"")),"")</f>
        <v/>
      </c>
      <c r="G87" t="str">
        <f>IFERROR(IF(OR(INDEX(tblTrans[ProductID],86)="",ISNUMBER(SEARCH("ProductID",INDEX(tblTrans[ProductID],86)))),"",_xlfn.XLOOKUP(B87,tblProducts[ProductID],tblProducts[Category],"")),"")</f>
        <v/>
      </c>
      <c r="H87" t="str">
        <f>IFERROR(IF(OR(INDEX(tblTrans[ProductID],86)="",ISNUMBER(SEARCH("ProductID",INDEX(tblTrans[ProductID],86)))),"",_xlfn.XLOOKUP(B87,tblProducts[ProductID],tblProducts[Supplier],"")),"")</f>
        <v/>
      </c>
      <c r="I87" t="str">
        <f>IFERROR(IF(OR(INDEX(tblTrans[ProductID],86)="",ISNUMBER(SEARCH("ProductID",INDEX(tblTrans[ProductID],86)))),"",D87*_xlfn.XLOOKUP(B87,tblProducts[ProductID],tblProducts[UnitCost],0)),"")</f>
        <v/>
      </c>
    </row>
    <row r="88" spans="1:9" x14ac:dyDescent="0.3">
      <c r="A88" s="5" t="str">
        <f>IFERROR(IF(OR(INDEX(tblTrans[ProductID],87)="",ISNUMBER(SEARCH("ProductID",INDEX(tblTrans[ProductID],87)))),"",INDEX(tblTrans[Date],87)),"")</f>
        <v/>
      </c>
      <c r="B88" t="str">
        <f>IFERROR(IF(OR(INDEX(tblTrans[ProductID],87)="",ISNUMBER(SEARCH("ProductID",INDEX(tblTrans[ProductID],87)))),"",INDEX(tblTrans[ProductID],87)),"")</f>
        <v/>
      </c>
      <c r="C88" t="str">
        <f>IFERROR(IF(OR(INDEX(tblTrans[ProductID],87)="",ISNUMBER(SEARCH("ProductID",INDEX(tblTrans[ProductID],87)))),"",INDEX(tblTrans[Location],87)),"")</f>
        <v/>
      </c>
      <c r="D88" t="str">
        <f>IFERROR(IF(OR(INDEX(tblTrans[ProductID],87)="",ISNUMBER(SEARCH("ProductID",INDEX(tblTrans[ProductID],87)))),"",INDEX(tblTrans[Quantity],87)),"")</f>
        <v/>
      </c>
      <c r="E88" t="str">
        <f>IFERROR(IF(OR(INDEX(tblTrans[ProductID],87)="",ISNUMBER(SEARCH("ProductID",INDEX(tblTrans[ProductID],87)))),"",INDEX(tblTrans[Type],87)),"")</f>
        <v/>
      </c>
      <c r="F88" t="str">
        <f>IFERROR(IF(OR(INDEX(tblTrans[ProductID],87)="",ISNUMBER(SEARCH("ProductID",INDEX(tblTrans[ProductID],87)))),"",_xlfn.XLOOKUP(B88,tblProducts[ProductID],tblProducts[ProductName],"")),"")</f>
        <v/>
      </c>
      <c r="G88" t="str">
        <f>IFERROR(IF(OR(INDEX(tblTrans[ProductID],87)="",ISNUMBER(SEARCH("ProductID",INDEX(tblTrans[ProductID],87)))),"",_xlfn.XLOOKUP(B88,tblProducts[ProductID],tblProducts[Category],"")),"")</f>
        <v/>
      </c>
      <c r="H88" t="str">
        <f>IFERROR(IF(OR(INDEX(tblTrans[ProductID],87)="",ISNUMBER(SEARCH("ProductID",INDEX(tblTrans[ProductID],87)))),"",_xlfn.XLOOKUP(B88,tblProducts[ProductID],tblProducts[Supplier],"")),"")</f>
        <v/>
      </c>
      <c r="I88" t="str">
        <f>IFERROR(IF(OR(INDEX(tblTrans[ProductID],87)="",ISNUMBER(SEARCH("ProductID",INDEX(tblTrans[ProductID],87)))),"",D88*_xlfn.XLOOKUP(B88,tblProducts[ProductID],tblProducts[UnitCost],0)),"")</f>
        <v/>
      </c>
    </row>
    <row r="89" spans="1:9" x14ac:dyDescent="0.3">
      <c r="A89" s="5" t="str">
        <f>IFERROR(IF(OR(INDEX(tblTrans[ProductID],88)="",ISNUMBER(SEARCH("ProductID",INDEX(tblTrans[ProductID],88)))),"",INDEX(tblTrans[Date],88)),"")</f>
        <v/>
      </c>
      <c r="B89" t="str">
        <f>IFERROR(IF(OR(INDEX(tblTrans[ProductID],88)="",ISNUMBER(SEARCH("ProductID",INDEX(tblTrans[ProductID],88)))),"",INDEX(tblTrans[ProductID],88)),"")</f>
        <v/>
      </c>
      <c r="C89" t="str">
        <f>IFERROR(IF(OR(INDEX(tblTrans[ProductID],88)="",ISNUMBER(SEARCH("ProductID",INDEX(tblTrans[ProductID],88)))),"",INDEX(tblTrans[Location],88)),"")</f>
        <v/>
      </c>
      <c r="D89" t="str">
        <f>IFERROR(IF(OR(INDEX(tblTrans[ProductID],88)="",ISNUMBER(SEARCH("ProductID",INDEX(tblTrans[ProductID],88)))),"",INDEX(tblTrans[Quantity],88)),"")</f>
        <v/>
      </c>
      <c r="E89" t="str">
        <f>IFERROR(IF(OR(INDEX(tblTrans[ProductID],88)="",ISNUMBER(SEARCH("ProductID",INDEX(tblTrans[ProductID],88)))),"",INDEX(tblTrans[Type],88)),"")</f>
        <v/>
      </c>
      <c r="F89" t="str">
        <f>IFERROR(IF(OR(INDEX(tblTrans[ProductID],88)="",ISNUMBER(SEARCH("ProductID",INDEX(tblTrans[ProductID],88)))),"",_xlfn.XLOOKUP(B89,tblProducts[ProductID],tblProducts[ProductName],"")),"")</f>
        <v/>
      </c>
      <c r="G89" t="str">
        <f>IFERROR(IF(OR(INDEX(tblTrans[ProductID],88)="",ISNUMBER(SEARCH("ProductID",INDEX(tblTrans[ProductID],88)))),"",_xlfn.XLOOKUP(B89,tblProducts[ProductID],tblProducts[Category],"")),"")</f>
        <v/>
      </c>
      <c r="H89" t="str">
        <f>IFERROR(IF(OR(INDEX(tblTrans[ProductID],88)="",ISNUMBER(SEARCH("ProductID",INDEX(tblTrans[ProductID],88)))),"",_xlfn.XLOOKUP(B89,tblProducts[ProductID],tblProducts[Supplier],"")),"")</f>
        <v/>
      </c>
      <c r="I89" t="str">
        <f>IFERROR(IF(OR(INDEX(tblTrans[ProductID],88)="",ISNUMBER(SEARCH("ProductID",INDEX(tblTrans[ProductID],88)))),"",D89*_xlfn.XLOOKUP(B89,tblProducts[ProductID],tblProducts[UnitCost],0)),"")</f>
        <v/>
      </c>
    </row>
    <row r="90" spans="1:9" x14ac:dyDescent="0.3">
      <c r="A90" s="5" t="str">
        <f>IFERROR(IF(OR(INDEX(tblTrans[ProductID],89)="",ISNUMBER(SEARCH("ProductID",INDEX(tblTrans[ProductID],89)))),"",INDEX(tblTrans[Date],89)),"")</f>
        <v/>
      </c>
      <c r="B90" t="str">
        <f>IFERROR(IF(OR(INDEX(tblTrans[ProductID],89)="",ISNUMBER(SEARCH("ProductID",INDEX(tblTrans[ProductID],89)))),"",INDEX(tblTrans[ProductID],89)),"")</f>
        <v/>
      </c>
      <c r="C90" t="str">
        <f>IFERROR(IF(OR(INDEX(tblTrans[ProductID],89)="",ISNUMBER(SEARCH("ProductID",INDEX(tblTrans[ProductID],89)))),"",INDEX(tblTrans[Location],89)),"")</f>
        <v/>
      </c>
      <c r="D90" t="str">
        <f>IFERROR(IF(OR(INDEX(tblTrans[ProductID],89)="",ISNUMBER(SEARCH("ProductID",INDEX(tblTrans[ProductID],89)))),"",INDEX(tblTrans[Quantity],89)),"")</f>
        <v/>
      </c>
      <c r="E90" t="str">
        <f>IFERROR(IF(OR(INDEX(tblTrans[ProductID],89)="",ISNUMBER(SEARCH("ProductID",INDEX(tblTrans[ProductID],89)))),"",INDEX(tblTrans[Type],89)),"")</f>
        <v/>
      </c>
      <c r="F90" t="str">
        <f>IFERROR(IF(OR(INDEX(tblTrans[ProductID],89)="",ISNUMBER(SEARCH("ProductID",INDEX(tblTrans[ProductID],89)))),"",_xlfn.XLOOKUP(B90,tblProducts[ProductID],tblProducts[ProductName],"")),"")</f>
        <v/>
      </c>
      <c r="G90" t="str">
        <f>IFERROR(IF(OR(INDEX(tblTrans[ProductID],89)="",ISNUMBER(SEARCH("ProductID",INDEX(tblTrans[ProductID],89)))),"",_xlfn.XLOOKUP(B90,tblProducts[ProductID],tblProducts[Category],"")),"")</f>
        <v/>
      </c>
      <c r="H90" t="str">
        <f>IFERROR(IF(OR(INDEX(tblTrans[ProductID],89)="",ISNUMBER(SEARCH("ProductID",INDEX(tblTrans[ProductID],89)))),"",_xlfn.XLOOKUP(B90,tblProducts[ProductID],tblProducts[Supplier],"")),"")</f>
        <v/>
      </c>
      <c r="I90" t="str">
        <f>IFERROR(IF(OR(INDEX(tblTrans[ProductID],89)="",ISNUMBER(SEARCH("ProductID",INDEX(tblTrans[ProductID],89)))),"",D90*_xlfn.XLOOKUP(B90,tblProducts[ProductID],tblProducts[UnitCost],0)),"")</f>
        <v/>
      </c>
    </row>
    <row r="91" spans="1:9" x14ac:dyDescent="0.3">
      <c r="A91" s="5" t="str">
        <f>IFERROR(IF(OR(INDEX(tblTrans[ProductID],90)="",ISNUMBER(SEARCH("ProductID",INDEX(tblTrans[ProductID],90)))),"",INDEX(tblTrans[Date],90)),"")</f>
        <v/>
      </c>
      <c r="B91" t="str">
        <f>IFERROR(IF(OR(INDEX(tblTrans[ProductID],90)="",ISNUMBER(SEARCH("ProductID",INDEX(tblTrans[ProductID],90)))),"",INDEX(tblTrans[ProductID],90)),"")</f>
        <v/>
      </c>
      <c r="C91" t="str">
        <f>IFERROR(IF(OR(INDEX(tblTrans[ProductID],90)="",ISNUMBER(SEARCH("ProductID",INDEX(tblTrans[ProductID],90)))),"",INDEX(tblTrans[Location],90)),"")</f>
        <v/>
      </c>
      <c r="D91" t="str">
        <f>IFERROR(IF(OR(INDEX(tblTrans[ProductID],90)="",ISNUMBER(SEARCH("ProductID",INDEX(tblTrans[ProductID],90)))),"",INDEX(tblTrans[Quantity],90)),"")</f>
        <v/>
      </c>
      <c r="E91" t="str">
        <f>IFERROR(IF(OR(INDEX(tblTrans[ProductID],90)="",ISNUMBER(SEARCH("ProductID",INDEX(tblTrans[ProductID],90)))),"",INDEX(tblTrans[Type],90)),"")</f>
        <v/>
      </c>
      <c r="F91" t="str">
        <f>IFERROR(IF(OR(INDEX(tblTrans[ProductID],90)="",ISNUMBER(SEARCH("ProductID",INDEX(tblTrans[ProductID],90)))),"",_xlfn.XLOOKUP(B91,tblProducts[ProductID],tblProducts[ProductName],"")),"")</f>
        <v/>
      </c>
      <c r="G91" t="str">
        <f>IFERROR(IF(OR(INDEX(tblTrans[ProductID],90)="",ISNUMBER(SEARCH("ProductID",INDEX(tblTrans[ProductID],90)))),"",_xlfn.XLOOKUP(B91,tblProducts[ProductID],tblProducts[Category],"")),"")</f>
        <v/>
      </c>
      <c r="H91" t="str">
        <f>IFERROR(IF(OR(INDEX(tblTrans[ProductID],90)="",ISNUMBER(SEARCH("ProductID",INDEX(tblTrans[ProductID],90)))),"",_xlfn.XLOOKUP(B91,tblProducts[ProductID],tblProducts[Supplier],"")),"")</f>
        <v/>
      </c>
      <c r="I91" t="str">
        <f>IFERROR(IF(OR(INDEX(tblTrans[ProductID],90)="",ISNUMBER(SEARCH("ProductID",INDEX(tblTrans[ProductID],90)))),"",D91*_xlfn.XLOOKUP(B91,tblProducts[ProductID],tblProducts[UnitCost],0)),"")</f>
        <v/>
      </c>
    </row>
    <row r="92" spans="1:9" x14ac:dyDescent="0.3">
      <c r="A92" s="5" t="str">
        <f>IFERROR(IF(OR(INDEX(tblTrans[ProductID],91)="",ISNUMBER(SEARCH("ProductID",INDEX(tblTrans[ProductID],91)))),"",INDEX(tblTrans[Date],91)),"")</f>
        <v/>
      </c>
      <c r="B92" t="str">
        <f>IFERROR(IF(OR(INDEX(tblTrans[ProductID],91)="",ISNUMBER(SEARCH("ProductID",INDEX(tblTrans[ProductID],91)))),"",INDEX(tblTrans[ProductID],91)),"")</f>
        <v/>
      </c>
      <c r="C92" t="str">
        <f>IFERROR(IF(OR(INDEX(tblTrans[ProductID],91)="",ISNUMBER(SEARCH("ProductID",INDEX(tblTrans[ProductID],91)))),"",INDEX(tblTrans[Location],91)),"")</f>
        <v/>
      </c>
      <c r="D92" t="str">
        <f>IFERROR(IF(OR(INDEX(tblTrans[ProductID],91)="",ISNUMBER(SEARCH("ProductID",INDEX(tblTrans[ProductID],91)))),"",INDEX(tblTrans[Quantity],91)),"")</f>
        <v/>
      </c>
      <c r="E92" t="str">
        <f>IFERROR(IF(OR(INDEX(tblTrans[ProductID],91)="",ISNUMBER(SEARCH("ProductID",INDEX(tblTrans[ProductID],91)))),"",INDEX(tblTrans[Type],91)),"")</f>
        <v/>
      </c>
      <c r="F92" t="str">
        <f>IFERROR(IF(OR(INDEX(tblTrans[ProductID],91)="",ISNUMBER(SEARCH("ProductID",INDEX(tblTrans[ProductID],91)))),"",_xlfn.XLOOKUP(B92,tblProducts[ProductID],tblProducts[ProductName],"")),"")</f>
        <v/>
      </c>
      <c r="G92" t="str">
        <f>IFERROR(IF(OR(INDEX(tblTrans[ProductID],91)="",ISNUMBER(SEARCH("ProductID",INDEX(tblTrans[ProductID],91)))),"",_xlfn.XLOOKUP(B92,tblProducts[ProductID],tblProducts[Category],"")),"")</f>
        <v/>
      </c>
      <c r="H92" t="str">
        <f>IFERROR(IF(OR(INDEX(tblTrans[ProductID],91)="",ISNUMBER(SEARCH("ProductID",INDEX(tblTrans[ProductID],91)))),"",_xlfn.XLOOKUP(B92,tblProducts[ProductID],tblProducts[Supplier],"")),"")</f>
        <v/>
      </c>
      <c r="I92" t="str">
        <f>IFERROR(IF(OR(INDEX(tblTrans[ProductID],91)="",ISNUMBER(SEARCH("ProductID",INDEX(tblTrans[ProductID],91)))),"",D92*_xlfn.XLOOKUP(B92,tblProducts[ProductID],tblProducts[UnitCost],0)),"")</f>
        <v/>
      </c>
    </row>
    <row r="93" spans="1:9" x14ac:dyDescent="0.3">
      <c r="A93" s="5" t="str">
        <f>IFERROR(IF(OR(INDEX(tblTrans[ProductID],92)="",ISNUMBER(SEARCH("ProductID",INDEX(tblTrans[ProductID],92)))),"",INDEX(tblTrans[Date],92)),"")</f>
        <v/>
      </c>
      <c r="B93" t="str">
        <f>IFERROR(IF(OR(INDEX(tblTrans[ProductID],92)="",ISNUMBER(SEARCH("ProductID",INDEX(tblTrans[ProductID],92)))),"",INDEX(tblTrans[ProductID],92)),"")</f>
        <v/>
      </c>
      <c r="C93" t="str">
        <f>IFERROR(IF(OR(INDEX(tblTrans[ProductID],92)="",ISNUMBER(SEARCH("ProductID",INDEX(tblTrans[ProductID],92)))),"",INDEX(tblTrans[Location],92)),"")</f>
        <v/>
      </c>
      <c r="D93" t="str">
        <f>IFERROR(IF(OR(INDEX(tblTrans[ProductID],92)="",ISNUMBER(SEARCH("ProductID",INDEX(tblTrans[ProductID],92)))),"",INDEX(tblTrans[Quantity],92)),"")</f>
        <v/>
      </c>
      <c r="E93" t="str">
        <f>IFERROR(IF(OR(INDEX(tblTrans[ProductID],92)="",ISNUMBER(SEARCH("ProductID",INDEX(tblTrans[ProductID],92)))),"",INDEX(tblTrans[Type],92)),"")</f>
        <v/>
      </c>
      <c r="F93" t="str">
        <f>IFERROR(IF(OR(INDEX(tblTrans[ProductID],92)="",ISNUMBER(SEARCH("ProductID",INDEX(tblTrans[ProductID],92)))),"",_xlfn.XLOOKUP(B93,tblProducts[ProductID],tblProducts[ProductName],"")),"")</f>
        <v/>
      </c>
      <c r="G93" t="str">
        <f>IFERROR(IF(OR(INDEX(tblTrans[ProductID],92)="",ISNUMBER(SEARCH("ProductID",INDEX(tblTrans[ProductID],92)))),"",_xlfn.XLOOKUP(B93,tblProducts[ProductID],tblProducts[Category],"")),"")</f>
        <v/>
      </c>
      <c r="H93" t="str">
        <f>IFERROR(IF(OR(INDEX(tblTrans[ProductID],92)="",ISNUMBER(SEARCH("ProductID",INDEX(tblTrans[ProductID],92)))),"",_xlfn.XLOOKUP(B93,tblProducts[ProductID],tblProducts[Supplier],"")),"")</f>
        <v/>
      </c>
      <c r="I93" t="str">
        <f>IFERROR(IF(OR(INDEX(tblTrans[ProductID],92)="",ISNUMBER(SEARCH("ProductID",INDEX(tblTrans[ProductID],92)))),"",D93*_xlfn.XLOOKUP(B93,tblProducts[ProductID],tblProducts[UnitCost],0)),"")</f>
        <v/>
      </c>
    </row>
    <row r="94" spans="1:9" x14ac:dyDescent="0.3">
      <c r="A94" s="5" t="str">
        <f>IFERROR(IF(OR(INDEX(tblTrans[ProductID],93)="",ISNUMBER(SEARCH("ProductID",INDEX(tblTrans[ProductID],93)))),"",INDEX(tblTrans[Date],93)),"")</f>
        <v/>
      </c>
      <c r="B94" t="str">
        <f>IFERROR(IF(OR(INDEX(tblTrans[ProductID],93)="",ISNUMBER(SEARCH("ProductID",INDEX(tblTrans[ProductID],93)))),"",INDEX(tblTrans[ProductID],93)),"")</f>
        <v/>
      </c>
      <c r="C94" t="str">
        <f>IFERROR(IF(OR(INDEX(tblTrans[ProductID],93)="",ISNUMBER(SEARCH("ProductID",INDEX(tblTrans[ProductID],93)))),"",INDEX(tblTrans[Location],93)),"")</f>
        <v/>
      </c>
      <c r="D94" t="str">
        <f>IFERROR(IF(OR(INDEX(tblTrans[ProductID],93)="",ISNUMBER(SEARCH("ProductID",INDEX(tblTrans[ProductID],93)))),"",INDEX(tblTrans[Quantity],93)),"")</f>
        <v/>
      </c>
      <c r="E94" t="str">
        <f>IFERROR(IF(OR(INDEX(tblTrans[ProductID],93)="",ISNUMBER(SEARCH("ProductID",INDEX(tblTrans[ProductID],93)))),"",INDEX(tblTrans[Type],93)),"")</f>
        <v/>
      </c>
      <c r="F94" t="str">
        <f>IFERROR(IF(OR(INDEX(tblTrans[ProductID],93)="",ISNUMBER(SEARCH("ProductID",INDEX(tblTrans[ProductID],93)))),"",_xlfn.XLOOKUP(B94,tblProducts[ProductID],tblProducts[ProductName],"")),"")</f>
        <v/>
      </c>
      <c r="G94" t="str">
        <f>IFERROR(IF(OR(INDEX(tblTrans[ProductID],93)="",ISNUMBER(SEARCH("ProductID",INDEX(tblTrans[ProductID],93)))),"",_xlfn.XLOOKUP(B94,tblProducts[ProductID],tblProducts[Category],"")),"")</f>
        <v/>
      </c>
      <c r="H94" t="str">
        <f>IFERROR(IF(OR(INDEX(tblTrans[ProductID],93)="",ISNUMBER(SEARCH("ProductID",INDEX(tblTrans[ProductID],93)))),"",_xlfn.XLOOKUP(B94,tblProducts[ProductID],tblProducts[Supplier],"")),"")</f>
        <v/>
      </c>
      <c r="I94" t="str">
        <f>IFERROR(IF(OR(INDEX(tblTrans[ProductID],93)="",ISNUMBER(SEARCH("ProductID",INDEX(tblTrans[ProductID],93)))),"",D94*_xlfn.XLOOKUP(B94,tblProducts[ProductID],tblProducts[UnitCost],0)),"")</f>
        <v/>
      </c>
    </row>
    <row r="95" spans="1:9" x14ac:dyDescent="0.3">
      <c r="A95" s="5" t="str">
        <f>IFERROR(IF(OR(INDEX(tblTrans[ProductID],94)="",ISNUMBER(SEARCH("ProductID",INDEX(tblTrans[ProductID],94)))),"",INDEX(tblTrans[Date],94)),"")</f>
        <v/>
      </c>
      <c r="B95" t="str">
        <f>IFERROR(IF(OR(INDEX(tblTrans[ProductID],94)="",ISNUMBER(SEARCH("ProductID",INDEX(tblTrans[ProductID],94)))),"",INDEX(tblTrans[ProductID],94)),"")</f>
        <v/>
      </c>
      <c r="C95" t="str">
        <f>IFERROR(IF(OR(INDEX(tblTrans[ProductID],94)="",ISNUMBER(SEARCH("ProductID",INDEX(tblTrans[ProductID],94)))),"",INDEX(tblTrans[Location],94)),"")</f>
        <v/>
      </c>
      <c r="D95" t="str">
        <f>IFERROR(IF(OR(INDEX(tblTrans[ProductID],94)="",ISNUMBER(SEARCH("ProductID",INDEX(tblTrans[ProductID],94)))),"",INDEX(tblTrans[Quantity],94)),"")</f>
        <v/>
      </c>
      <c r="E95" t="str">
        <f>IFERROR(IF(OR(INDEX(tblTrans[ProductID],94)="",ISNUMBER(SEARCH("ProductID",INDEX(tblTrans[ProductID],94)))),"",INDEX(tblTrans[Type],94)),"")</f>
        <v/>
      </c>
      <c r="F95" t="str">
        <f>IFERROR(IF(OR(INDEX(tblTrans[ProductID],94)="",ISNUMBER(SEARCH("ProductID",INDEX(tblTrans[ProductID],94)))),"",_xlfn.XLOOKUP(B95,tblProducts[ProductID],tblProducts[ProductName],"")),"")</f>
        <v/>
      </c>
      <c r="G95" t="str">
        <f>IFERROR(IF(OR(INDEX(tblTrans[ProductID],94)="",ISNUMBER(SEARCH("ProductID",INDEX(tblTrans[ProductID],94)))),"",_xlfn.XLOOKUP(B95,tblProducts[ProductID],tblProducts[Category],"")),"")</f>
        <v/>
      </c>
      <c r="H95" t="str">
        <f>IFERROR(IF(OR(INDEX(tblTrans[ProductID],94)="",ISNUMBER(SEARCH("ProductID",INDEX(tblTrans[ProductID],94)))),"",_xlfn.XLOOKUP(B95,tblProducts[ProductID],tblProducts[Supplier],"")),"")</f>
        <v/>
      </c>
      <c r="I95" t="str">
        <f>IFERROR(IF(OR(INDEX(tblTrans[ProductID],94)="",ISNUMBER(SEARCH("ProductID",INDEX(tblTrans[ProductID],94)))),"",D95*_xlfn.XLOOKUP(B95,tblProducts[ProductID],tblProducts[UnitCost],0)),"")</f>
        <v/>
      </c>
    </row>
    <row r="96" spans="1:9" x14ac:dyDescent="0.3">
      <c r="A96" s="5" t="str">
        <f>IFERROR(IF(OR(INDEX(tblTrans[ProductID],95)="",ISNUMBER(SEARCH("ProductID",INDEX(tblTrans[ProductID],95)))),"",INDEX(tblTrans[Date],95)),"")</f>
        <v/>
      </c>
      <c r="B96" t="str">
        <f>IFERROR(IF(OR(INDEX(tblTrans[ProductID],95)="",ISNUMBER(SEARCH("ProductID",INDEX(tblTrans[ProductID],95)))),"",INDEX(tblTrans[ProductID],95)),"")</f>
        <v/>
      </c>
      <c r="C96" t="str">
        <f>IFERROR(IF(OR(INDEX(tblTrans[ProductID],95)="",ISNUMBER(SEARCH("ProductID",INDEX(tblTrans[ProductID],95)))),"",INDEX(tblTrans[Location],95)),"")</f>
        <v/>
      </c>
      <c r="D96" t="str">
        <f>IFERROR(IF(OR(INDEX(tblTrans[ProductID],95)="",ISNUMBER(SEARCH("ProductID",INDEX(tblTrans[ProductID],95)))),"",INDEX(tblTrans[Quantity],95)),"")</f>
        <v/>
      </c>
      <c r="E96" t="str">
        <f>IFERROR(IF(OR(INDEX(tblTrans[ProductID],95)="",ISNUMBER(SEARCH("ProductID",INDEX(tblTrans[ProductID],95)))),"",INDEX(tblTrans[Type],95)),"")</f>
        <v/>
      </c>
      <c r="F96" t="str">
        <f>IFERROR(IF(OR(INDEX(tblTrans[ProductID],95)="",ISNUMBER(SEARCH("ProductID",INDEX(tblTrans[ProductID],95)))),"",_xlfn.XLOOKUP(B96,tblProducts[ProductID],tblProducts[ProductName],"")),"")</f>
        <v/>
      </c>
      <c r="G96" t="str">
        <f>IFERROR(IF(OR(INDEX(tblTrans[ProductID],95)="",ISNUMBER(SEARCH("ProductID",INDEX(tblTrans[ProductID],95)))),"",_xlfn.XLOOKUP(B96,tblProducts[ProductID],tblProducts[Category],"")),"")</f>
        <v/>
      </c>
      <c r="H96" t="str">
        <f>IFERROR(IF(OR(INDEX(tblTrans[ProductID],95)="",ISNUMBER(SEARCH("ProductID",INDEX(tblTrans[ProductID],95)))),"",_xlfn.XLOOKUP(B96,tblProducts[ProductID],tblProducts[Supplier],"")),"")</f>
        <v/>
      </c>
      <c r="I96" t="str">
        <f>IFERROR(IF(OR(INDEX(tblTrans[ProductID],95)="",ISNUMBER(SEARCH("ProductID",INDEX(tblTrans[ProductID],95)))),"",D96*_xlfn.XLOOKUP(B96,tblProducts[ProductID],tblProducts[UnitCost],0)),"")</f>
        <v/>
      </c>
    </row>
    <row r="97" spans="1:9" x14ac:dyDescent="0.3">
      <c r="A97" s="5" t="str">
        <f>IFERROR(IF(OR(INDEX(tblTrans[ProductID],96)="",ISNUMBER(SEARCH("ProductID",INDEX(tblTrans[ProductID],96)))),"",INDEX(tblTrans[Date],96)),"")</f>
        <v/>
      </c>
      <c r="B97" t="str">
        <f>IFERROR(IF(OR(INDEX(tblTrans[ProductID],96)="",ISNUMBER(SEARCH("ProductID",INDEX(tblTrans[ProductID],96)))),"",INDEX(tblTrans[ProductID],96)),"")</f>
        <v/>
      </c>
      <c r="C97" t="str">
        <f>IFERROR(IF(OR(INDEX(tblTrans[ProductID],96)="",ISNUMBER(SEARCH("ProductID",INDEX(tblTrans[ProductID],96)))),"",INDEX(tblTrans[Location],96)),"")</f>
        <v/>
      </c>
      <c r="D97" t="str">
        <f>IFERROR(IF(OR(INDEX(tblTrans[ProductID],96)="",ISNUMBER(SEARCH("ProductID",INDEX(tblTrans[ProductID],96)))),"",INDEX(tblTrans[Quantity],96)),"")</f>
        <v/>
      </c>
      <c r="E97" t="str">
        <f>IFERROR(IF(OR(INDEX(tblTrans[ProductID],96)="",ISNUMBER(SEARCH("ProductID",INDEX(tblTrans[ProductID],96)))),"",INDEX(tblTrans[Type],96)),"")</f>
        <v/>
      </c>
      <c r="F97" t="str">
        <f>IFERROR(IF(OR(INDEX(tblTrans[ProductID],96)="",ISNUMBER(SEARCH("ProductID",INDEX(tblTrans[ProductID],96)))),"",_xlfn.XLOOKUP(B97,tblProducts[ProductID],tblProducts[ProductName],"")),"")</f>
        <v/>
      </c>
      <c r="G97" t="str">
        <f>IFERROR(IF(OR(INDEX(tblTrans[ProductID],96)="",ISNUMBER(SEARCH("ProductID",INDEX(tblTrans[ProductID],96)))),"",_xlfn.XLOOKUP(B97,tblProducts[ProductID],tblProducts[Category],"")),"")</f>
        <v/>
      </c>
      <c r="H97" t="str">
        <f>IFERROR(IF(OR(INDEX(tblTrans[ProductID],96)="",ISNUMBER(SEARCH("ProductID",INDEX(tblTrans[ProductID],96)))),"",_xlfn.XLOOKUP(B97,tblProducts[ProductID],tblProducts[Supplier],"")),"")</f>
        <v/>
      </c>
      <c r="I97" t="str">
        <f>IFERROR(IF(OR(INDEX(tblTrans[ProductID],96)="",ISNUMBER(SEARCH("ProductID",INDEX(tblTrans[ProductID],96)))),"",D97*_xlfn.XLOOKUP(B97,tblProducts[ProductID],tblProducts[UnitCost],0)),"")</f>
        <v/>
      </c>
    </row>
    <row r="98" spans="1:9" x14ac:dyDescent="0.3">
      <c r="A98" s="5" t="str">
        <f>IFERROR(IF(OR(INDEX(tblTrans[ProductID],97)="",ISNUMBER(SEARCH("ProductID",INDEX(tblTrans[ProductID],97)))),"",INDEX(tblTrans[Date],97)),"")</f>
        <v/>
      </c>
      <c r="B98" t="str">
        <f>IFERROR(IF(OR(INDEX(tblTrans[ProductID],97)="",ISNUMBER(SEARCH("ProductID",INDEX(tblTrans[ProductID],97)))),"",INDEX(tblTrans[ProductID],97)),"")</f>
        <v/>
      </c>
      <c r="C98" t="str">
        <f>IFERROR(IF(OR(INDEX(tblTrans[ProductID],97)="",ISNUMBER(SEARCH("ProductID",INDEX(tblTrans[ProductID],97)))),"",INDEX(tblTrans[Location],97)),"")</f>
        <v/>
      </c>
      <c r="D98" t="str">
        <f>IFERROR(IF(OR(INDEX(tblTrans[ProductID],97)="",ISNUMBER(SEARCH("ProductID",INDEX(tblTrans[ProductID],97)))),"",INDEX(tblTrans[Quantity],97)),"")</f>
        <v/>
      </c>
      <c r="E98" t="str">
        <f>IFERROR(IF(OR(INDEX(tblTrans[ProductID],97)="",ISNUMBER(SEARCH("ProductID",INDEX(tblTrans[ProductID],97)))),"",INDEX(tblTrans[Type],97)),"")</f>
        <v/>
      </c>
      <c r="F98" t="str">
        <f>IFERROR(IF(OR(INDEX(tblTrans[ProductID],97)="",ISNUMBER(SEARCH("ProductID",INDEX(tblTrans[ProductID],97)))),"",_xlfn.XLOOKUP(B98,tblProducts[ProductID],tblProducts[ProductName],"")),"")</f>
        <v/>
      </c>
      <c r="G98" t="str">
        <f>IFERROR(IF(OR(INDEX(tblTrans[ProductID],97)="",ISNUMBER(SEARCH("ProductID",INDEX(tblTrans[ProductID],97)))),"",_xlfn.XLOOKUP(B98,tblProducts[ProductID],tblProducts[Category],"")),"")</f>
        <v/>
      </c>
      <c r="H98" t="str">
        <f>IFERROR(IF(OR(INDEX(tblTrans[ProductID],97)="",ISNUMBER(SEARCH("ProductID",INDEX(tblTrans[ProductID],97)))),"",_xlfn.XLOOKUP(B98,tblProducts[ProductID],tblProducts[Supplier],"")),"")</f>
        <v/>
      </c>
      <c r="I98" t="str">
        <f>IFERROR(IF(OR(INDEX(tblTrans[ProductID],97)="",ISNUMBER(SEARCH("ProductID",INDEX(tblTrans[ProductID],97)))),"",D98*_xlfn.XLOOKUP(B98,tblProducts[ProductID],tblProducts[UnitCost],0)),"")</f>
        <v/>
      </c>
    </row>
    <row r="99" spans="1:9" x14ac:dyDescent="0.3">
      <c r="A99" s="5" t="str">
        <f>IFERROR(IF(OR(INDEX(tblTrans[ProductID],98)="",ISNUMBER(SEARCH("ProductID",INDEX(tblTrans[ProductID],98)))),"",INDEX(tblTrans[Date],98)),"")</f>
        <v/>
      </c>
      <c r="B99" t="str">
        <f>IFERROR(IF(OR(INDEX(tblTrans[ProductID],98)="",ISNUMBER(SEARCH("ProductID",INDEX(tblTrans[ProductID],98)))),"",INDEX(tblTrans[ProductID],98)),"")</f>
        <v/>
      </c>
      <c r="C99" t="str">
        <f>IFERROR(IF(OR(INDEX(tblTrans[ProductID],98)="",ISNUMBER(SEARCH("ProductID",INDEX(tblTrans[ProductID],98)))),"",INDEX(tblTrans[Location],98)),"")</f>
        <v/>
      </c>
      <c r="D99" t="str">
        <f>IFERROR(IF(OR(INDEX(tblTrans[ProductID],98)="",ISNUMBER(SEARCH("ProductID",INDEX(tblTrans[ProductID],98)))),"",INDEX(tblTrans[Quantity],98)),"")</f>
        <v/>
      </c>
      <c r="E99" t="str">
        <f>IFERROR(IF(OR(INDEX(tblTrans[ProductID],98)="",ISNUMBER(SEARCH("ProductID",INDEX(tblTrans[ProductID],98)))),"",INDEX(tblTrans[Type],98)),"")</f>
        <v/>
      </c>
      <c r="F99" t="str">
        <f>IFERROR(IF(OR(INDEX(tblTrans[ProductID],98)="",ISNUMBER(SEARCH("ProductID",INDEX(tblTrans[ProductID],98)))),"",_xlfn.XLOOKUP(B99,tblProducts[ProductID],tblProducts[ProductName],"")),"")</f>
        <v/>
      </c>
      <c r="G99" t="str">
        <f>IFERROR(IF(OR(INDEX(tblTrans[ProductID],98)="",ISNUMBER(SEARCH("ProductID",INDEX(tblTrans[ProductID],98)))),"",_xlfn.XLOOKUP(B99,tblProducts[ProductID],tblProducts[Category],"")),"")</f>
        <v/>
      </c>
      <c r="H99" t="str">
        <f>IFERROR(IF(OR(INDEX(tblTrans[ProductID],98)="",ISNUMBER(SEARCH("ProductID",INDEX(tblTrans[ProductID],98)))),"",_xlfn.XLOOKUP(B99,tblProducts[ProductID],tblProducts[Supplier],"")),"")</f>
        <v/>
      </c>
      <c r="I99" t="str">
        <f>IFERROR(IF(OR(INDEX(tblTrans[ProductID],98)="",ISNUMBER(SEARCH("ProductID",INDEX(tblTrans[ProductID],98)))),"",D99*_xlfn.XLOOKUP(B99,tblProducts[ProductID],tblProducts[UnitCost],0)),"")</f>
        <v/>
      </c>
    </row>
    <row r="100" spans="1:9" x14ac:dyDescent="0.3">
      <c r="A100" s="5" t="str">
        <f>IFERROR(IF(OR(INDEX(tblTrans[ProductID],99)="",ISNUMBER(SEARCH("ProductID",INDEX(tblTrans[ProductID],99)))),"",INDEX(tblTrans[Date],99)),"")</f>
        <v/>
      </c>
      <c r="B100" t="str">
        <f>IFERROR(IF(OR(INDEX(tblTrans[ProductID],99)="",ISNUMBER(SEARCH("ProductID",INDEX(tblTrans[ProductID],99)))),"",INDEX(tblTrans[ProductID],99)),"")</f>
        <v/>
      </c>
      <c r="C100" t="str">
        <f>IFERROR(IF(OR(INDEX(tblTrans[ProductID],99)="",ISNUMBER(SEARCH("ProductID",INDEX(tblTrans[ProductID],99)))),"",INDEX(tblTrans[Location],99)),"")</f>
        <v/>
      </c>
      <c r="D100" t="str">
        <f>IFERROR(IF(OR(INDEX(tblTrans[ProductID],99)="",ISNUMBER(SEARCH("ProductID",INDEX(tblTrans[ProductID],99)))),"",INDEX(tblTrans[Quantity],99)),"")</f>
        <v/>
      </c>
      <c r="E100" t="str">
        <f>IFERROR(IF(OR(INDEX(tblTrans[ProductID],99)="",ISNUMBER(SEARCH("ProductID",INDEX(tblTrans[ProductID],99)))),"",INDEX(tblTrans[Type],99)),"")</f>
        <v/>
      </c>
      <c r="F100" t="str">
        <f>IFERROR(IF(OR(INDEX(tblTrans[ProductID],99)="",ISNUMBER(SEARCH("ProductID",INDEX(tblTrans[ProductID],99)))),"",_xlfn.XLOOKUP(B100,tblProducts[ProductID],tblProducts[ProductName],"")),"")</f>
        <v/>
      </c>
      <c r="G100" t="str">
        <f>IFERROR(IF(OR(INDEX(tblTrans[ProductID],99)="",ISNUMBER(SEARCH("ProductID",INDEX(tblTrans[ProductID],99)))),"",_xlfn.XLOOKUP(B100,tblProducts[ProductID],tblProducts[Category],"")),"")</f>
        <v/>
      </c>
      <c r="H100" t="str">
        <f>IFERROR(IF(OR(INDEX(tblTrans[ProductID],99)="",ISNUMBER(SEARCH("ProductID",INDEX(tblTrans[ProductID],99)))),"",_xlfn.XLOOKUP(B100,tblProducts[ProductID],tblProducts[Supplier],"")),"")</f>
        <v/>
      </c>
      <c r="I100" t="str">
        <f>IFERROR(IF(OR(INDEX(tblTrans[ProductID],99)="",ISNUMBER(SEARCH("ProductID",INDEX(tblTrans[ProductID],99)))),"",D100*_xlfn.XLOOKUP(B100,tblProducts[ProductID],tblProducts[UnitCost],0)),"")</f>
        <v/>
      </c>
    </row>
    <row r="101" spans="1:9" x14ac:dyDescent="0.3">
      <c r="A101" s="5" t="str">
        <f>IFERROR(IF(OR(INDEX(tblTrans[ProductID],100)="",ISNUMBER(SEARCH("ProductID",INDEX(tblTrans[ProductID],100)))),"",INDEX(tblTrans[Date],100)),"")</f>
        <v/>
      </c>
      <c r="B101" t="str">
        <f>IFERROR(IF(OR(INDEX(tblTrans[ProductID],100)="",ISNUMBER(SEARCH("ProductID",INDEX(tblTrans[ProductID],100)))),"",INDEX(tblTrans[ProductID],100)),"")</f>
        <v/>
      </c>
      <c r="C101" t="str">
        <f>IFERROR(IF(OR(INDEX(tblTrans[ProductID],100)="",ISNUMBER(SEARCH("ProductID",INDEX(tblTrans[ProductID],100)))),"",INDEX(tblTrans[Location],100)),"")</f>
        <v/>
      </c>
      <c r="D101" t="str">
        <f>IFERROR(IF(OR(INDEX(tblTrans[ProductID],100)="",ISNUMBER(SEARCH("ProductID",INDEX(tblTrans[ProductID],100)))),"",INDEX(tblTrans[Quantity],100)),"")</f>
        <v/>
      </c>
      <c r="E101" t="str">
        <f>IFERROR(IF(OR(INDEX(tblTrans[ProductID],100)="",ISNUMBER(SEARCH("ProductID",INDEX(tblTrans[ProductID],100)))),"",INDEX(tblTrans[Type],100)),"")</f>
        <v/>
      </c>
      <c r="F101" t="str">
        <f>IFERROR(IF(OR(INDEX(tblTrans[ProductID],100)="",ISNUMBER(SEARCH("ProductID",INDEX(tblTrans[ProductID],100)))),"",_xlfn.XLOOKUP(B101,tblProducts[ProductID],tblProducts[ProductName],"")),"")</f>
        <v/>
      </c>
      <c r="G101" t="str">
        <f>IFERROR(IF(OR(INDEX(tblTrans[ProductID],100)="",ISNUMBER(SEARCH("ProductID",INDEX(tblTrans[ProductID],100)))),"",_xlfn.XLOOKUP(B101,tblProducts[ProductID],tblProducts[Category],"")),"")</f>
        <v/>
      </c>
      <c r="H101" t="str">
        <f>IFERROR(IF(OR(INDEX(tblTrans[ProductID],100)="",ISNUMBER(SEARCH("ProductID",INDEX(tblTrans[ProductID],100)))),"",_xlfn.XLOOKUP(B101,tblProducts[ProductID],tblProducts[Supplier],"")),"")</f>
        <v/>
      </c>
      <c r="I101" t="str">
        <f>IFERROR(IF(OR(INDEX(tblTrans[ProductID],100)="",ISNUMBER(SEARCH("ProductID",INDEX(tblTrans[ProductID],100)))),"",D101*_xlfn.XLOOKUP(B101,tblProducts[ProductID],tblProducts[UnitCost],0)),"")</f>
        <v/>
      </c>
    </row>
    <row r="102" spans="1:9" x14ac:dyDescent="0.3">
      <c r="A102" s="5" t="str">
        <f>IFERROR(IF(OR(INDEX(tblTrans[ProductID],101)="",ISNUMBER(SEARCH("ProductID",INDEX(tblTrans[ProductID],101)))),"",INDEX(tblTrans[Date],101)),"")</f>
        <v/>
      </c>
      <c r="B102" t="str">
        <f>IFERROR(IF(OR(INDEX(tblTrans[ProductID],101)="",ISNUMBER(SEARCH("ProductID",INDEX(tblTrans[ProductID],101)))),"",INDEX(tblTrans[ProductID],101)),"")</f>
        <v/>
      </c>
      <c r="C102" t="str">
        <f>IFERROR(IF(OR(INDEX(tblTrans[ProductID],101)="",ISNUMBER(SEARCH("ProductID",INDEX(tblTrans[ProductID],101)))),"",INDEX(tblTrans[Location],101)),"")</f>
        <v/>
      </c>
      <c r="D102" t="str">
        <f>IFERROR(IF(OR(INDEX(tblTrans[ProductID],101)="",ISNUMBER(SEARCH("ProductID",INDEX(tblTrans[ProductID],101)))),"",INDEX(tblTrans[Quantity],101)),"")</f>
        <v/>
      </c>
      <c r="E102" t="str">
        <f>IFERROR(IF(OR(INDEX(tblTrans[ProductID],101)="",ISNUMBER(SEARCH("ProductID",INDEX(tblTrans[ProductID],101)))),"",INDEX(tblTrans[Type],101)),"")</f>
        <v/>
      </c>
      <c r="F102" t="str">
        <f>IFERROR(IF(OR(INDEX(tblTrans[ProductID],101)="",ISNUMBER(SEARCH("ProductID",INDEX(tblTrans[ProductID],101)))),"",_xlfn.XLOOKUP(B102,tblProducts[ProductID],tblProducts[ProductName],"")),"")</f>
        <v/>
      </c>
      <c r="G102" t="str">
        <f>IFERROR(IF(OR(INDEX(tblTrans[ProductID],101)="",ISNUMBER(SEARCH("ProductID",INDEX(tblTrans[ProductID],101)))),"",_xlfn.XLOOKUP(B102,tblProducts[ProductID],tblProducts[Category],"")),"")</f>
        <v/>
      </c>
      <c r="H102" t="str">
        <f>IFERROR(IF(OR(INDEX(tblTrans[ProductID],101)="",ISNUMBER(SEARCH("ProductID",INDEX(tblTrans[ProductID],101)))),"",_xlfn.XLOOKUP(B102,tblProducts[ProductID],tblProducts[Supplier],"")),"")</f>
        <v/>
      </c>
      <c r="I102" t="str">
        <f>IFERROR(IF(OR(INDEX(tblTrans[ProductID],101)="",ISNUMBER(SEARCH("ProductID",INDEX(tblTrans[ProductID],101)))),"",D102*_xlfn.XLOOKUP(B102,tblProducts[ProductID],tblProducts[UnitCost],0)),"")</f>
        <v/>
      </c>
    </row>
    <row r="103" spans="1:9" x14ac:dyDescent="0.3">
      <c r="A103" s="5" t="str">
        <f>IFERROR(IF(OR(INDEX(tblTrans[ProductID],102)="",ISNUMBER(SEARCH("ProductID",INDEX(tblTrans[ProductID],102)))),"",INDEX(tblTrans[Date],102)),"")</f>
        <v/>
      </c>
      <c r="B103" t="str">
        <f>IFERROR(IF(OR(INDEX(tblTrans[ProductID],102)="",ISNUMBER(SEARCH("ProductID",INDEX(tblTrans[ProductID],102)))),"",INDEX(tblTrans[ProductID],102)),"")</f>
        <v/>
      </c>
      <c r="C103" t="str">
        <f>IFERROR(IF(OR(INDEX(tblTrans[ProductID],102)="",ISNUMBER(SEARCH("ProductID",INDEX(tblTrans[ProductID],102)))),"",INDEX(tblTrans[Location],102)),"")</f>
        <v/>
      </c>
      <c r="D103" t="str">
        <f>IFERROR(IF(OR(INDEX(tblTrans[ProductID],102)="",ISNUMBER(SEARCH("ProductID",INDEX(tblTrans[ProductID],102)))),"",INDEX(tblTrans[Quantity],102)),"")</f>
        <v/>
      </c>
      <c r="E103" t="str">
        <f>IFERROR(IF(OR(INDEX(tblTrans[ProductID],102)="",ISNUMBER(SEARCH("ProductID",INDEX(tblTrans[ProductID],102)))),"",INDEX(tblTrans[Type],102)),"")</f>
        <v/>
      </c>
      <c r="F103" t="str">
        <f>IFERROR(IF(OR(INDEX(tblTrans[ProductID],102)="",ISNUMBER(SEARCH("ProductID",INDEX(tblTrans[ProductID],102)))),"",_xlfn.XLOOKUP(B103,tblProducts[ProductID],tblProducts[ProductName],"")),"")</f>
        <v/>
      </c>
      <c r="G103" t="str">
        <f>IFERROR(IF(OR(INDEX(tblTrans[ProductID],102)="",ISNUMBER(SEARCH("ProductID",INDEX(tblTrans[ProductID],102)))),"",_xlfn.XLOOKUP(B103,tblProducts[ProductID],tblProducts[Category],"")),"")</f>
        <v/>
      </c>
      <c r="H103" t="str">
        <f>IFERROR(IF(OR(INDEX(tblTrans[ProductID],102)="",ISNUMBER(SEARCH("ProductID",INDEX(tblTrans[ProductID],102)))),"",_xlfn.XLOOKUP(B103,tblProducts[ProductID],tblProducts[Supplier],"")),"")</f>
        <v/>
      </c>
      <c r="I103" t="str">
        <f>IFERROR(IF(OR(INDEX(tblTrans[ProductID],102)="",ISNUMBER(SEARCH("ProductID",INDEX(tblTrans[ProductID],102)))),"",D103*_xlfn.XLOOKUP(B103,tblProducts[ProductID],tblProducts[UnitCost],0)),"")</f>
        <v/>
      </c>
    </row>
    <row r="104" spans="1:9" x14ac:dyDescent="0.3">
      <c r="A104" s="5" t="str">
        <f>IFERROR(IF(OR(INDEX(tblTrans[ProductID],103)="",ISNUMBER(SEARCH("ProductID",INDEX(tblTrans[ProductID],103)))),"",INDEX(tblTrans[Date],103)),"")</f>
        <v/>
      </c>
      <c r="B104" t="str">
        <f>IFERROR(IF(OR(INDEX(tblTrans[ProductID],103)="",ISNUMBER(SEARCH("ProductID",INDEX(tblTrans[ProductID],103)))),"",INDEX(tblTrans[ProductID],103)),"")</f>
        <v/>
      </c>
      <c r="C104" t="str">
        <f>IFERROR(IF(OR(INDEX(tblTrans[ProductID],103)="",ISNUMBER(SEARCH("ProductID",INDEX(tblTrans[ProductID],103)))),"",INDEX(tblTrans[Location],103)),"")</f>
        <v/>
      </c>
      <c r="D104" t="str">
        <f>IFERROR(IF(OR(INDEX(tblTrans[ProductID],103)="",ISNUMBER(SEARCH("ProductID",INDEX(tblTrans[ProductID],103)))),"",INDEX(tblTrans[Quantity],103)),"")</f>
        <v/>
      </c>
      <c r="E104" t="str">
        <f>IFERROR(IF(OR(INDEX(tblTrans[ProductID],103)="",ISNUMBER(SEARCH("ProductID",INDEX(tblTrans[ProductID],103)))),"",INDEX(tblTrans[Type],103)),"")</f>
        <v/>
      </c>
      <c r="F104" t="str">
        <f>IFERROR(IF(OR(INDEX(tblTrans[ProductID],103)="",ISNUMBER(SEARCH("ProductID",INDEX(tblTrans[ProductID],103)))),"",_xlfn.XLOOKUP(B104,tblProducts[ProductID],tblProducts[ProductName],"")),"")</f>
        <v/>
      </c>
      <c r="G104" t="str">
        <f>IFERROR(IF(OR(INDEX(tblTrans[ProductID],103)="",ISNUMBER(SEARCH("ProductID",INDEX(tblTrans[ProductID],103)))),"",_xlfn.XLOOKUP(B104,tblProducts[ProductID],tblProducts[Category],"")),"")</f>
        <v/>
      </c>
      <c r="H104" t="str">
        <f>IFERROR(IF(OR(INDEX(tblTrans[ProductID],103)="",ISNUMBER(SEARCH("ProductID",INDEX(tblTrans[ProductID],103)))),"",_xlfn.XLOOKUP(B104,tblProducts[ProductID],tblProducts[Supplier],"")),"")</f>
        <v/>
      </c>
      <c r="I104" t="str">
        <f>IFERROR(IF(OR(INDEX(tblTrans[ProductID],103)="",ISNUMBER(SEARCH("ProductID",INDEX(tblTrans[ProductID],103)))),"",D104*_xlfn.XLOOKUP(B104,tblProducts[ProductID],tblProducts[UnitCost],0)),"")</f>
        <v/>
      </c>
    </row>
    <row r="105" spans="1:9" x14ac:dyDescent="0.3">
      <c r="A105" s="5" t="str">
        <f>IFERROR(IF(OR(INDEX(tblTrans[ProductID],104)="",ISNUMBER(SEARCH("ProductID",INDEX(tblTrans[ProductID],104)))),"",INDEX(tblTrans[Date],104)),"")</f>
        <v/>
      </c>
      <c r="B105" t="str">
        <f>IFERROR(IF(OR(INDEX(tblTrans[ProductID],104)="",ISNUMBER(SEARCH("ProductID",INDEX(tblTrans[ProductID],104)))),"",INDEX(tblTrans[ProductID],104)),"")</f>
        <v/>
      </c>
      <c r="C105" t="str">
        <f>IFERROR(IF(OR(INDEX(tblTrans[ProductID],104)="",ISNUMBER(SEARCH("ProductID",INDEX(tblTrans[ProductID],104)))),"",INDEX(tblTrans[Location],104)),"")</f>
        <v/>
      </c>
      <c r="D105" t="str">
        <f>IFERROR(IF(OR(INDEX(tblTrans[ProductID],104)="",ISNUMBER(SEARCH("ProductID",INDEX(tblTrans[ProductID],104)))),"",INDEX(tblTrans[Quantity],104)),"")</f>
        <v/>
      </c>
      <c r="E105" t="str">
        <f>IFERROR(IF(OR(INDEX(tblTrans[ProductID],104)="",ISNUMBER(SEARCH("ProductID",INDEX(tblTrans[ProductID],104)))),"",INDEX(tblTrans[Type],104)),"")</f>
        <v/>
      </c>
      <c r="F105" t="str">
        <f>IFERROR(IF(OR(INDEX(tblTrans[ProductID],104)="",ISNUMBER(SEARCH("ProductID",INDEX(tblTrans[ProductID],104)))),"",_xlfn.XLOOKUP(B105,tblProducts[ProductID],tblProducts[ProductName],"")),"")</f>
        <v/>
      </c>
      <c r="G105" t="str">
        <f>IFERROR(IF(OR(INDEX(tblTrans[ProductID],104)="",ISNUMBER(SEARCH("ProductID",INDEX(tblTrans[ProductID],104)))),"",_xlfn.XLOOKUP(B105,tblProducts[ProductID],tblProducts[Category],"")),"")</f>
        <v/>
      </c>
      <c r="H105" t="str">
        <f>IFERROR(IF(OR(INDEX(tblTrans[ProductID],104)="",ISNUMBER(SEARCH("ProductID",INDEX(tblTrans[ProductID],104)))),"",_xlfn.XLOOKUP(B105,tblProducts[ProductID],tblProducts[Supplier],"")),"")</f>
        <v/>
      </c>
      <c r="I105" t="str">
        <f>IFERROR(IF(OR(INDEX(tblTrans[ProductID],104)="",ISNUMBER(SEARCH("ProductID",INDEX(tblTrans[ProductID],104)))),"",D105*_xlfn.XLOOKUP(B105,tblProducts[ProductID],tblProducts[UnitCost],0)),"")</f>
        <v/>
      </c>
    </row>
    <row r="106" spans="1:9" x14ac:dyDescent="0.3">
      <c r="A106" s="5" t="str">
        <f>IFERROR(IF(OR(INDEX(tblTrans[ProductID],105)="",ISNUMBER(SEARCH("ProductID",INDEX(tblTrans[ProductID],105)))),"",INDEX(tblTrans[Date],105)),"")</f>
        <v/>
      </c>
      <c r="B106" t="str">
        <f>IFERROR(IF(OR(INDEX(tblTrans[ProductID],105)="",ISNUMBER(SEARCH("ProductID",INDEX(tblTrans[ProductID],105)))),"",INDEX(tblTrans[ProductID],105)),"")</f>
        <v/>
      </c>
      <c r="C106" t="str">
        <f>IFERROR(IF(OR(INDEX(tblTrans[ProductID],105)="",ISNUMBER(SEARCH("ProductID",INDEX(tblTrans[ProductID],105)))),"",INDEX(tblTrans[Location],105)),"")</f>
        <v/>
      </c>
      <c r="D106" t="str">
        <f>IFERROR(IF(OR(INDEX(tblTrans[ProductID],105)="",ISNUMBER(SEARCH("ProductID",INDEX(tblTrans[ProductID],105)))),"",INDEX(tblTrans[Quantity],105)),"")</f>
        <v/>
      </c>
      <c r="E106" t="str">
        <f>IFERROR(IF(OR(INDEX(tblTrans[ProductID],105)="",ISNUMBER(SEARCH("ProductID",INDEX(tblTrans[ProductID],105)))),"",INDEX(tblTrans[Type],105)),"")</f>
        <v/>
      </c>
      <c r="F106" t="str">
        <f>IFERROR(IF(OR(INDEX(tblTrans[ProductID],105)="",ISNUMBER(SEARCH("ProductID",INDEX(tblTrans[ProductID],105)))),"",_xlfn.XLOOKUP(B106,tblProducts[ProductID],tblProducts[ProductName],"")),"")</f>
        <v/>
      </c>
      <c r="G106" t="str">
        <f>IFERROR(IF(OR(INDEX(tblTrans[ProductID],105)="",ISNUMBER(SEARCH("ProductID",INDEX(tblTrans[ProductID],105)))),"",_xlfn.XLOOKUP(B106,tblProducts[ProductID],tblProducts[Category],"")),"")</f>
        <v/>
      </c>
      <c r="H106" t="str">
        <f>IFERROR(IF(OR(INDEX(tblTrans[ProductID],105)="",ISNUMBER(SEARCH("ProductID",INDEX(tblTrans[ProductID],105)))),"",_xlfn.XLOOKUP(B106,tblProducts[ProductID],tblProducts[Supplier],"")),"")</f>
        <v/>
      </c>
      <c r="I106" t="str">
        <f>IFERROR(IF(OR(INDEX(tblTrans[ProductID],105)="",ISNUMBER(SEARCH("ProductID",INDEX(tblTrans[ProductID],105)))),"",D106*_xlfn.XLOOKUP(B106,tblProducts[ProductID],tblProducts[UnitCost],0)),"")</f>
        <v/>
      </c>
    </row>
    <row r="107" spans="1:9" x14ac:dyDescent="0.3">
      <c r="A107" s="5" t="str">
        <f>IFERROR(IF(OR(INDEX(tblTrans[ProductID],106)="",ISNUMBER(SEARCH("ProductID",INDEX(tblTrans[ProductID],106)))),"",INDEX(tblTrans[Date],106)),"")</f>
        <v/>
      </c>
      <c r="B107" t="str">
        <f>IFERROR(IF(OR(INDEX(tblTrans[ProductID],106)="",ISNUMBER(SEARCH("ProductID",INDEX(tblTrans[ProductID],106)))),"",INDEX(tblTrans[ProductID],106)),"")</f>
        <v/>
      </c>
      <c r="C107" t="str">
        <f>IFERROR(IF(OR(INDEX(tblTrans[ProductID],106)="",ISNUMBER(SEARCH("ProductID",INDEX(tblTrans[ProductID],106)))),"",INDEX(tblTrans[Location],106)),"")</f>
        <v/>
      </c>
      <c r="D107" t="str">
        <f>IFERROR(IF(OR(INDEX(tblTrans[ProductID],106)="",ISNUMBER(SEARCH("ProductID",INDEX(tblTrans[ProductID],106)))),"",INDEX(tblTrans[Quantity],106)),"")</f>
        <v/>
      </c>
      <c r="E107" t="str">
        <f>IFERROR(IF(OR(INDEX(tblTrans[ProductID],106)="",ISNUMBER(SEARCH("ProductID",INDEX(tblTrans[ProductID],106)))),"",INDEX(tblTrans[Type],106)),"")</f>
        <v/>
      </c>
      <c r="F107" t="str">
        <f>IFERROR(IF(OR(INDEX(tblTrans[ProductID],106)="",ISNUMBER(SEARCH("ProductID",INDEX(tblTrans[ProductID],106)))),"",_xlfn.XLOOKUP(B107,tblProducts[ProductID],tblProducts[ProductName],"")),"")</f>
        <v/>
      </c>
      <c r="G107" t="str">
        <f>IFERROR(IF(OR(INDEX(tblTrans[ProductID],106)="",ISNUMBER(SEARCH("ProductID",INDEX(tblTrans[ProductID],106)))),"",_xlfn.XLOOKUP(B107,tblProducts[ProductID],tblProducts[Category],"")),"")</f>
        <v/>
      </c>
      <c r="H107" t="str">
        <f>IFERROR(IF(OR(INDEX(tblTrans[ProductID],106)="",ISNUMBER(SEARCH("ProductID",INDEX(tblTrans[ProductID],106)))),"",_xlfn.XLOOKUP(B107,tblProducts[ProductID],tblProducts[Supplier],"")),"")</f>
        <v/>
      </c>
      <c r="I107" t="str">
        <f>IFERROR(IF(OR(INDEX(tblTrans[ProductID],106)="",ISNUMBER(SEARCH("ProductID",INDEX(tblTrans[ProductID],106)))),"",D107*_xlfn.XLOOKUP(B107,tblProducts[ProductID],tblProducts[UnitCost],0)),"")</f>
        <v/>
      </c>
    </row>
    <row r="108" spans="1:9" x14ac:dyDescent="0.3">
      <c r="A108" s="5" t="str">
        <f>IFERROR(IF(OR(INDEX(tblTrans[ProductID],107)="",ISNUMBER(SEARCH("ProductID",INDEX(tblTrans[ProductID],107)))),"",INDEX(tblTrans[Date],107)),"")</f>
        <v/>
      </c>
      <c r="B108" t="str">
        <f>IFERROR(IF(OR(INDEX(tblTrans[ProductID],107)="",ISNUMBER(SEARCH("ProductID",INDEX(tblTrans[ProductID],107)))),"",INDEX(tblTrans[ProductID],107)),"")</f>
        <v/>
      </c>
      <c r="C108" t="str">
        <f>IFERROR(IF(OR(INDEX(tblTrans[ProductID],107)="",ISNUMBER(SEARCH("ProductID",INDEX(tblTrans[ProductID],107)))),"",INDEX(tblTrans[Location],107)),"")</f>
        <v/>
      </c>
      <c r="D108" t="str">
        <f>IFERROR(IF(OR(INDEX(tblTrans[ProductID],107)="",ISNUMBER(SEARCH("ProductID",INDEX(tblTrans[ProductID],107)))),"",INDEX(tblTrans[Quantity],107)),"")</f>
        <v/>
      </c>
      <c r="E108" t="str">
        <f>IFERROR(IF(OR(INDEX(tblTrans[ProductID],107)="",ISNUMBER(SEARCH("ProductID",INDEX(tblTrans[ProductID],107)))),"",INDEX(tblTrans[Type],107)),"")</f>
        <v/>
      </c>
      <c r="F108" t="str">
        <f>IFERROR(IF(OR(INDEX(tblTrans[ProductID],107)="",ISNUMBER(SEARCH("ProductID",INDEX(tblTrans[ProductID],107)))),"",_xlfn.XLOOKUP(B108,tblProducts[ProductID],tblProducts[ProductName],"")),"")</f>
        <v/>
      </c>
      <c r="G108" t="str">
        <f>IFERROR(IF(OR(INDEX(tblTrans[ProductID],107)="",ISNUMBER(SEARCH("ProductID",INDEX(tblTrans[ProductID],107)))),"",_xlfn.XLOOKUP(B108,tblProducts[ProductID],tblProducts[Category],"")),"")</f>
        <v/>
      </c>
      <c r="H108" t="str">
        <f>IFERROR(IF(OR(INDEX(tblTrans[ProductID],107)="",ISNUMBER(SEARCH("ProductID",INDEX(tblTrans[ProductID],107)))),"",_xlfn.XLOOKUP(B108,tblProducts[ProductID],tblProducts[Supplier],"")),"")</f>
        <v/>
      </c>
      <c r="I108" t="str">
        <f>IFERROR(IF(OR(INDEX(tblTrans[ProductID],107)="",ISNUMBER(SEARCH("ProductID",INDEX(tblTrans[ProductID],107)))),"",D108*_xlfn.XLOOKUP(B108,tblProducts[ProductID],tblProducts[UnitCost],0)),"")</f>
        <v/>
      </c>
    </row>
    <row r="109" spans="1:9" x14ac:dyDescent="0.3">
      <c r="A109" s="5" t="str">
        <f>IFERROR(IF(OR(INDEX(tblTrans[ProductID],108)="",ISNUMBER(SEARCH("ProductID",INDEX(tblTrans[ProductID],108)))),"",INDEX(tblTrans[Date],108)),"")</f>
        <v/>
      </c>
      <c r="B109" t="str">
        <f>IFERROR(IF(OR(INDEX(tblTrans[ProductID],108)="",ISNUMBER(SEARCH("ProductID",INDEX(tblTrans[ProductID],108)))),"",INDEX(tblTrans[ProductID],108)),"")</f>
        <v/>
      </c>
      <c r="C109" t="str">
        <f>IFERROR(IF(OR(INDEX(tblTrans[ProductID],108)="",ISNUMBER(SEARCH("ProductID",INDEX(tblTrans[ProductID],108)))),"",INDEX(tblTrans[Location],108)),"")</f>
        <v/>
      </c>
      <c r="D109" t="str">
        <f>IFERROR(IF(OR(INDEX(tblTrans[ProductID],108)="",ISNUMBER(SEARCH("ProductID",INDEX(tblTrans[ProductID],108)))),"",INDEX(tblTrans[Quantity],108)),"")</f>
        <v/>
      </c>
      <c r="E109" t="str">
        <f>IFERROR(IF(OR(INDEX(tblTrans[ProductID],108)="",ISNUMBER(SEARCH("ProductID",INDEX(tblTrans[ProductID],108)))),"",INDEX(tblTrans[Type],108)),"")</f>
        <v/>
      </c>
      <c r="F109" t="str">
        <f>IFERROR(IF(OR(INDEX(tblTrans[ProductID],108)="",ISNUMBER(SEARCH("ProductID",INDEX(tblTrans[ProductID],108)))),"",_xlfn.XLOOKUP(B109,tblProducts[ProductID],tblProducts[ProductName],"")),"")</f>
        <v/>
      </c>
      <c r="G109" t="str">
        <f>IFERROR(IF(OR(INDEX(tblTrans[ProductID],108)="",ISNUMBER(SEARCH("ProductID",INDEX(tblTrans[ProductID],108)))),"",_xlfn.XLOOKUP(B109,tblProducts[ProductID],tblProducts[Category],"")),"")</f>
        <v/>
      </c>
      <c r="H109" t="str">
        <f>IFERROR(IF(OR(INDEX(tblTrans[ProductID],108)="",ISNUMBER(SEARCH("ProductID",INDEX(tblTrans[ProductID],108)))),"",_xlfn.XLOOKUP(B109,tblProducts[ProductID],tblProducts[Supplier],"")),"")</f>
        <v/>
      </c>
      <c r="I109" t="str">
        <f>IFERROR(IF(OR(INDEX(tblTrans[ProductID],108)="",ISNUMBER(SEARCH("ProductID",INDEX(tblTrans[ProductID],108)))),"",D109*_xlfn.XLOOKUP(B109,tblProducts[ProductID],tblProducts[UnitCost],0)),"")</f>
        <v/>
      </c>
    </row>
    <row r="110" spans="1:9" x14ac:dyDescent="0.3">
      <c r="A110" s="5" t="str">
        <f>IFERROR(IF(OR(INDEX(tblTrans[ProductID],109)="",ISNUMBER(SEARCH("ProductID",INDEX(tblTrans[ProductID],109)))),"",INDEX(tblTrans[Date],109)),"")</f>
        <v/>
      </c>
      <c r="B110" t="str">
        <f>IFERROR(IF(OR(INDEX(tblTrans[ProductID],109)="",ISNUMBER(SEARCH("ProductID",INDEX(tblTrans[ProductID],109)))),"",INDEX(tblTrans[ProductID],109)),"")</f>
        <v/>
      </c>
      <c r="C110" t="str">
        <f>IFERROR(IF(OR(INDEX(tblTrans[ProductID],109)="",ISNUMBER(SEARCH("ProductID",INDEX(tblTrans[ProductID],109)))),"",INDEX(tblTrans[Location],109)),"")</f>
        <v/>
      </c>
      <c r="D110" t="str">
        <f>IFERROR(IF(OR(INDEX(tblTrans[ProductID],109)="",ISNUMBER(SEARCH("ProductID",INDEX(tblTrans[ProductID],109)))),"",INDEX(tblTrans[Quantity],109)),"")</f>
        <v/>
      </c>
      <c r="E110" t="str">
        <f>IFERROR(IF(OR(INDEX(tblTrans[ProductID],109)="",ISNUMBER(SEARCH("ProductID",INDEX(tblTrans[ProductID],109)))),"",INDEX(tblTrans[Type],109)),"")</f>
        <v/>
      </c>
      <c r="F110" t="str">
        <f>IFERROR(IF(OR(INDEX(tblTrans[ProductID],109)="",ISNUMBER(SEARCH("ProductID",INDEX(tblTrans[ProductID],109)))),"",_xlfn.XLOOKUP(B110,tblProducts[ProductID],tblProducts[ProductName],"")),"")</f>
        <v/>
      </c>
      <c r="G110" t="str">
        <f>IFERROR(IF(OR(INDEX(tblTrans[ProductID],109)="",ISNUMBER(SEARCH("ProductID",INDEX(tblTrans[ProductID],109)))),"",_xlfn.XLOOKUP(B110,tblProducts[ProductID],tblProducts[Category],"")),"")</f>
        <v/>
      </c>
      <c r="H110" t="str">
        <f>IFERROR(IF(OR(INDEX(tblTrans[ProductID],109)="",ISNUMBER(SEARCH("ProductID",INDEX(tblTrans[ProductID],109)))),"",_xlfn.XLOOKUP(B110,tblProducts[ProductID],tblProducts[Supplier],"")),"")</f>
        <v/>
      </c>
      <c r="I110" t="str">
        <f>IFERROR(IF(OR(INDEX(tblTrans[ProductID],109)="",ISNUMBER(SEARCH("ProductID",INDEX(tblTrans[ProductID],109)))),"",D110*_xlfn.XLOOKUP(B110,tblProducts[ProductID],tblProducts[UnitCost],0)),"")</f>
        <v/>
      </c>
    </row>
    <row r="111" spans="1:9" x14ac:dyDescent="0.3">
      <c r="A111" s="5" t="str">
        <f>IFERROR(IF(OR(INDEX(tblTrans[ProductID],110)="",ISNUMBER(SEARCH("ProductID",INDEX(tblTrans[ProductID],110)))),"",INDEX(tblTrans[Date],110)),"")</f>
        <v/>
      </c>
      <c r="B111" t="str">
        <f>IFERROR(IF(OR(INDEX(tblTrans[ProductID],110)="",ISNUMBER(SEARCH("ProductID",INDEX(tblTrans[ProductID],110)))),"",INDEX(tblTrans[ProductID],110)),"")</f>
        <v/>
      </c>
      <c r="C111" t="str">
        <f>IFERROR(IF(OR(INDEX(tblTrans[ProductID],110)="",ISNUMBER(SEARCH("ProductID",INDEX(tblTrans[ProductID],110)))),"",INDEX(tblTrans[Location],110)),"")</f>
        <v/>
      </c>
      <c r="D111" t="str">
        <f>IFERROR(IF(OR(INDEX(tblTrans[ProductID],110)="",ISNUMBER(SEARCH("ProductID",INDEX(tblTrans[ProductID],110)))),"",INDEX(tblTrans[Quantity],110)),"")</f>
        <v/>
      </c>
      <c r="E111" t="str">
        <f>IFERROR(IF(OR(INDEX(tblTrans[ProductID],110)="",ISNUMBER(SEARCH("ProductID",INDEX(tblTrans[ProductID],110)))),"",INDEX(tblTrans[Type],110)),"")</f>
        <v/>
      </c>
      <c r="F111" t="str">
        <f>IFERROR(IF(OR(INDEX(tblTrans[ProductID],110)="",ISNUMBER(SEARCH("ProductID",INDEX(tblTrans[ProductID],110)))),"",_xlfn.XLOOKUP(B111,tblProducts[ProductID],tblProducts[ProductName],"")),"")</f>
        <v/>
      </c>
      <c r="G111" t="str">
        <f>IFERROR(IF(OR(INDEX(tblTrans[ProductID],110)="",ISNUMBER(SEARCH("ProductID",INDEX(tblTrans[ProductID],110)))),"",_xlfn.XLOOKUP(B111,tblProducts[ProductID],tblProducts[Category],"")),"")</f>
        <v/>
      </c>
      <c r="H111" t="str">
        <f>IFERROR(IF(OR(INDEX(tblTrans[ProductID],110)="",ISNUMBER(SEARCH("ProductID",INDEX(tblTrans[ProductID],110)))),"",_xlfn.XLOOKUP(B111,tblProducts[ProductID],tblProducts[Supplier],"")),"")</f>
        <v/>
      </c>
      <c r="I111" t="str">
        <f>IFERROR(IF(OR(INDEX(tblTrans[ProductID],110)="",ISNUMBER(SEARCH("ProductID",INDEX(tblTrans[ProductID],110)))),"",D111*_xlfn.XLOOKUP(B111,tblProducts[ProductID],tblProducts[UnitCost],0)),"")</f>
        <v/>
      </c>
    </row>
    <row r="112" spans="1:9" x14ac:dyDescent="0.3">
      <c r="A112" s="5" t="str">
        <f>IFERROR(IF(OR(INDEX(tblTrans[ProductID],111)="",ISNUMBER(SEARCH("ProductID",INDEX(tblTrans[ProductID],111)))),"",INDEX(tblTrans[Date],111)),"")</f>
        <v/>
      </c>
      <c r="B112" t="str">
        <f>IFERROR(IF(OR(INDEX(tblTrans[ProductID],111)="",ISNUMBER(SEARCH("ProductID",INDEX(tblTrans[ProductID],111)))),"",INDEX(tblTrans[ProductID],111)),"")</f>
        <v/>
      </c>
      <c r="C112" t="str">
        <f>IFERROR(IF(OR(INDEX(tblTrans[ProductID],111)="",ISNUMBER(SEARCH("ProductID",INDEX(tblTrans[ProductID],111)))),"",INDEX(tblTrans[Location],111)),"")</f>
        <v/>
      </c>
      <c r="D112" t="str">
        <f>IFERROR(IF(OR(INDEX(tblTrans[ProductID],111)="",ISNUMBER(SEARCH("ProductID",INDEX(tblTrans[ProductID],111)))),"",INDEX(tblTrans[Quantity],111)),"")</f>
        <v/>
      </c>
      <c r="E112" t="str">
        <f>IFERROR(IF(OR(INDEX(tblTrans[ProductID],111)="",ISNUMBER(SEARCH("ProductID",INDEX(tblTrans[ProductID],111)))),"",INDEX(tblTrans[Type],111)),"")</f>
        <v/>
      </c>
      <c r="F112" t="str">
        <f>IFERROR(IF(OR(INDEX(tblTrans[ProductID],111)="",ISNUMBER(SEARCH("ProductID",INDEX(tblTrans[ProductID],111)))),"",_xlfn.XLOOKUP(B112,tblProducts[ProductID],tblProducts[ProductName],"")),"")</f>
        <v/>
      </c>
      <c r="G112" t="str">
        <f>IFERROR(IF(OR(INDEX(tblTrans[ProductID],111)="",ISNUMBER(SEARCH("ProductID",INDEX(tblTrans[ProductID],111)))),"",_xlfn.XLOOKUP(B112,tblProducts[ProductID],tblProducts[Category],"")),"")</f>
        <v/>
      </c>
      <c r="H112" t="str">
        <f>IFERROR(IF(OR(INDEX(tblTrans[ProductID],111)="",ISNUMBER(SEARCH("ProductID",INDEX(tblTrans[ProductID],111)))),"",_xlfn.XLOOKUP(B112,tblProducts[ProductID],tblProducts[Supplier],"")),"")</f>
        <v/>
      </c>
      <c r="I112" t="str">
        <f>IFERROR(IF(OR(INDEX(tblTrans[ProductID],111)="",ISNUMBER(SEARCH("ProductID",INDEX(tblTrans[ProductID],111)))),"",D112*_xlfn.XLOOKUP(B112,tblProducts[ProductID],tblProducts[UnitCost],0)),"")</f>
        <v/>
      </c>
    </row>
    <row r="113" spans="1:9" x14ac:dyDescent="0.3">
      <c r="A113" s="5" t="str">
        <f>IFERROR(IF(OR(INDEX(tblTrans[ProductID],112)="",ISNUMBER(SEARCH("ProductID",INDEX(tblTrans[ProductID],112)))),"",INDEX(tblTrans[Date],112)),"")</f>
        <v/>
      </c>
      <c r="B113" t="str">
        <f>IFERROR(IF(OR(INDEX(tblTrans[ProductID],112)="",ISNUMBER(SEARCH("ProductID",INDEX(tblTrans[ProductID],112)))),"",INDEX(tblTrans[ProductID],112)),"")</f>
        <v/>
      </c>
      <c r="C113" t="str">
        <f>IFERROR(IF(OR(INDEX(tblTrans[ProductID],112)="",ISNUMBER(SEARCH("ProductID",INDEX(tblTrans[ProductID],112)))),"",INDEX(tblTrans[Location],112)),"")</f>
        <v/>
      </c>
      <c r="D113" t="str">
        <f>IFERROR(IF(OR(INDEX(tblTrans[ProductID],112)="",ISNUMBER(SEARCH("ProductID",INDEX(tblTrans[ProductID],112)))),"",INDEX(tblTrans[Quantity],112)),"")</f>
        <v/>
      </c>
      <c r="E113" t="str">
        <f>IFERROR(IF(OR(INDEX(tblTrans[ProductID],112)="",ISNUMBER(SEARCH("ProductID",INDEX(tblTrans[ProductID],112)))),"",INDEX(tblTrans[Type],112)),"")</f>
        <v/>
      </c>
      <c r="F113" t="str">
        <f>IFERROR(IF(OR(INDEX(tblTrans[ProductID],112)="",ISNUMBER(SEARCH("ProductID",INDEX(tblTrans[ProductID],112)))),"",_xlfn.XLOOKUP(B113,tblProducts[ProductID],tblProducts[ProductName],"")),"")</f>
        <v/>
      </c>
      <c r="G113" t="str">
        <f>IFERROR(IF(OR(INDEX(tblTrans[ProductID],112)="",ISNUMBER(SEARCH("ProductID",INDEX(tblTrans[ProductID],112)))),"",_xlfn.XLOOKUP(B113,tblProducts[ProductID],tblProducts[Category],"")),"")</f>
        <v/>
      </c>
      <c r="H113" t="str">
        <f>IFERROR(IF(OR(INDEX(tblTrans[ProductID],112)="",ISNUMBER(SEARCH("ProductID",INDEX(tblTrans[ProductID],112)))),"",_xlfn.XLOOKUP(B113,tblProducts[ProductID],tblProducts[Supplier],"")),"")</f>
        <v/>
      </c>
      <c r="I113" t="str">
        <f>IFERROR(IF(OR(INDEX(tblTrans[ProductID],112)="",ISNUMBER(SEARCH("ProductID",INDEX(tblTrans[ProductID],112)))),"",D113*_xlfn.XLOOKUP(B113,tblProducts[ProductID],tblProducts[UnitCost],0)),"")</f>
        <v/>
      </c>
    </row>
    <row r="114" spans="1:9" x14ac:dyDescent="0.3">
      <c r="A114" s="5" t="str">
        <f>IFERROR(IF(OR(INDEX(tblTrans[ProductID],113)="",ISNUMBER(SEARCH("ProductID",INDEX(tblTrans[ProductID],113)))),"",INDEX(tblTrans[Date],113)),"")</f>
        <v/>
      </c>
      <c r="B114" t="str">
        <f>IFERROR(IF(OR(INDEX(tblTrans[ProductID],113)="",ISNUMBER(SEARCH("ProductID",INDEX(tblTrans[ProductID],113)))),"",INDEX(tblTrans[ProductID],113)),"")</f>
        <v/>
      </c>
      <c r="C114" t="str">
        <f>IFERROR(IF(OR(INDEX(tblTrans[ProductID],113)="",ISNUMBER(SEARCH("ProductID",INDEX(tblTrans[ProductID],113)))),"",INDEX(tblTrans[Location],113)),"")</f>
        <v/>
      </c>
      <c r="D114" t="str">
        <f>IFERROR(IF(OR(INDEX(tblTrans[ProductID],113)="",ISNUMBER(SEARCH("ProductID",INDEX(tblTrans[ProductID],113)))),"",INDEX(tblTrans[Quantity],113)),"")</f>
        <v/>
      </c>
      <c r="E114" t="str">
        <f>IFERROR(IF(OR(INDEX(tblTrans[ProductID],113)="",ISNUMBER(SEARCH("ProductID",INDEX(tblTrans[ProductID],113)))),"",INDEX(tblTrans[Type],113)),"")</f>
        <v/>
      </c>
      <c r="F114" t="str">
        <f>IFERROR(IF(OR(INDEX(tblTrans[ProductID],113)="",ISNUMBER(SEARCH("ProductID",INDEX(tblTrans[ProductID],113)))),"",_xlfn.XLOOKUP(B114,tblProducts[ProductID],tblProducts[ProductName],"")),"")</f>
        <v/>
      </c>
      <c r="G114" t="str">
        <f>IFERROR(IF(OR(INDEX(tblTrans[ProductID],113)="",ISNUMBER(SEARCH("ProductID",INDEX(tblTrans[ProductID],113)))),"",_xlfn.XLOOKUP(B114,tblProducts[ProductID],tblProducts[Category],"")),"")</f>
        <v/>
      </c>
      <c r="H114" t="str">
        <f>IFERROR(IF(OR(INDEX(tblTrans[ProductID],113)="",ISNUMBER(SEARCH("ProductID",INDEX(tblTrans[ProductID],113)))),"",_xlfn.XLOOKUP(B114,tblProducts[ProductID],tblProducts[Supplier],"")),"")</f>
        <v/>
      </c>
      <c r="I114" t="str">
        <f>IFERROR(IF(OR(INDEX(tblTrans[ProductID],113)="",ISNUMBER(SEARCH("ProductID",INDEX(tblTrans[ProductID],113)))),"",D114*_xlfn.XLOOKUP(B114,tblProducts[ProductID],tblProducts[UnitCost],0)),"")</f>
        <v/>
      </c>
    </row>
    <row r="115" spans="1:9" x14ac:dyDescent="0.3">
      <c r="A115" s="5" t="str">
        <f>IFERROR(IF(OR(INDEX(tblTrans[ProductID],114)="",ISNUMBER(SEARCH("ProductID",INDEX(tblTrans[ProductID],114)))),"",INDEX(tblTrans[Date],114)),"")</f>
        <v/>
      </c>
      <c r="B115" t="str">
        <f>IFERROR(IF(OR(INDEX(tblTrans[ProductID],114)="",ISNUMBER(SEARCH("ProductID",INDEX(tblTrans[ProductID],114)))),"",INDEX(tblTrans[ProductID],114)),"")</f>
        <v/>
      </c>
      <c r="C115" t="str">
        <f>IFERROR(IF(OR(INDEX(tblTrans[ProductID],114)="",ISNUMBER(SEARCH("ProductID",INDEX(tblTrans[ProductID],114)))),"",INDEX(tblTrans[Location],114)),"")</f>
        <v/>
      </c>
      <c r="D115" t="str">
        <f>IFERROR(IF(OR(INDEX(tblTrans[ProductID],114)="",ISNUMBER(SEARCH("ProductID",INDEX(tblTrans[ProductID],114)))),"",INDEX(tblTrans[Quantity],114)),"")</f>
        <v/>
      </c>
      <c r="E115" t="str">
        <f>IFERROR(IF(OR(INDEX(tblTrans[ProductID],114)="",ISNUMBER(SEARCH("ProductID",INDEX(tblTrans[ProductID],114)))),"",INDEX(tblTrans[Type],114)),"")</f>
        <v/>
      </c>
      <c r="F115" t="str">
        <f>IFERROR(IF(OR(INDEX(tblTrans[ProductID],114)="",ISNUMBER(SEARCH("ProductID",INDEX(tblTrans[ProductID],114)))),"",_xlfn.XLOOKUP(B115,tblProducts[ProductID],tblProducts[ProductName],"")),"")</f>
        <v/>
      </c>
      <c r="G115" t="str">
        <f>IFERROR(IF(OR(INDEX(tblTrans[ProductID],114)="",ISNUMBER(SEARCH("ProductID",INDEX(tblTrans[ProductID],114)))),"",_xlfn.XLOOKUP(B115,tblProducts[ProductID],tblProducts[Category],"")),"")</f>
        <v/>
      </c>
      <c r="H115" t="str">
        <f>IFERROR(IF(OR(INDEX(tblTrans[ProductID],114)="",ISNUMBER(SEARCH("ProductID",INDEX(tblTrans[ProductID],114)))),"",_xlfn.XLOOKUP(B115,tblProducts[ProductID],tblProducts[Supplier],"")),"")</f>
        <v/>
      </c>
      <c r="I115" t="str">
        <f>IFERROR(IF(OR(INDEX(tblTrans[ProductID],114)="",ISNUMBER(SEARCH("ProductID",INDEX(tblTrans[ProductID],114)))),"",D115*_xlfn.XLOOKUP(B115,tblProducts[ProductID],tblProducts[UnitCost],0)),"")</f>
        <v/>
      </c>
    </row>
    <row r="116" spans="1:9" x14ac:dyDescent="0.3">
      <c r="A116" s="5" t="str">
        <f>IFERROR(IF(OR(INDEX(tblTrans[ProductID],115)="",ISNUMBER(SEARCH("ProductID",INDEX(tblTrans[ProductID],115)))),"",INDEX(tblTrans[Date],115)),"")</f>
        <v/>
      </c>
      <c r="B116" t="str">
        <f>IFERROR(IF(OR(INDEX(tblTrans[ProductID],115)="",ISNUMBER(SEARCH("ProductID",INDEX(tblTrans[ProductID],115)))),"",INDEX(tblTrans[ProductID],115)),"")</f>
        <v/>
      </c>
      <c r="C116" t="str">
        <f>IFERROR(IF(OR(INDEX(tblTrans[ProductID],115)="",ISNUMBER(SEARCH("ProductID",INDEX(tblTrans[ProductID],115)))),"",INDEX(tblTrans[Location],115)),"")</f>
        <v/>
      </c>
      <c r="D116" t="str">
        <f>IFERROR(IF(OR(INDEX(tblTrans[ProductID],115)="",ISNUMBER(SEARCH("ProductID",INDEX(tblTrans[ProductID],115)))),"",INDEX(tblTrans[Quantity],115)),"")</f>
        <v/>
      </c>
      <c r="E116" t="str">
        <f>IFERROR(IF(OR(INDEX(tblTrans[ProductID],115)="",ISNUMBER(SEARCH("ProductID",INDEX(tblTrans[ProductID],115)))),"",INDEX(tblTrans[Type],115)),"")</f>
        <v/>
      </c>
      <c r="F116" t="str">
        <f>IFERROR(IF(OR(INDEX(tblTrans[ProductID],115)="",ISNUMBER(SEARCH("ProductID",INDEX(tblTrans[ProductID],115)))),"",_xlfn.XLOOKUP(B116,tblProducts[ProductID],tblProducts[ProductName],"")),"")</f>
        <v/>
      </c>
      <c r="G116" t="str">
        <f>IFERROR(IF(OR(INDEX(tblTrans[ProductID],115)="",ISNUMBER(SEARCH("ProductID",INDEX(tblTrans[ProductID],115)))),"",_xlfn.XLOOKUP(B116,tblProducts[ProductID],tblProducts[Category],"")),"")</f>
        <v/>
      </c>
      <c r="H116" t="str">
        <f>IFERROR(IF(OR(INDEX(tblTrans[ProductID],115)="",ISNUMBER(SEARCH("ProductID",INDEX(tblTrans[ProductID],115)))),"",_xlfn.XLOOKUP(B116,tblProducts[ProductID],tblProducts[Supplier],"")),"")</f>
        <v/>
      </c>
      <c r="I116" t="str">
        <f>IFERROR(IF(OR(INDEX(tblTrans[ProductID],115)="",ISNUMBER(SEARCH("ProductID",INDEX(tblTrans[ProductID],115)))),"",D116*_xlfn.XLOOKUP(B116,tblProducts[ProductID],tblProducts[UnitCost],0)),"")</f>
        <v/>
      </c>
    </row>
    <row r="117" spans="1:9" x14ac:dyDescent="0.3">
      <c r="A117" s="5" t="str">
        <f>IFERROR(IF(OR(INDEX(tblTrans[ProductID],116)="",ISNUMBER(SEARCH("ProductID",INDEX(tblTrans[ProductID],116)))),"",INDEX(tblTrans[Date],116)),"")</f>
        <v/>
      </c>
      <c r="B117" t="str">
        <f>IFERROR(IF(OR(INDEX(tblTrans[ProductID],116)="",ISNUMBER(SEARCH("ProductID",INDEX(tblTrans[ProductID],116)))),"",INDEX(tblTrans[ProductID],116)),"")</f>
        <v/>
      </c>
      <c r="C117" t="str">
        <f>IFERROR(IF(OR(INDEX(tblTrans[ProductID],116)="",ISNUMBER(SEARCH("ProductID",INDEX(tblTrans[ProductID],116)))),"",INDEX(tblTrans[Location],116)),"")</f>
        <v/>
      </c>
      <c r="D117" t="str">
        <f>IFERROR(IF(OR(INDEX(tblTrans[ProductID],116)="",ISNUMBER(SEARCH("ProductID",INDEX(tblTrans[ProductID],116)))),"",INDEX(tblTrans[Quantity],116)),"")</f>
        <v/>
      </c>
      <c r="E117" t="str">
        <f>IFERROR(IF(OR(INDEX(tblTrans[ProductID],116)="",ISNUMBER(SEARCH("ProductID",INDEX(tblTrans[ProductID],116)))),"",INDEX(tblTrans[Type],116)),"")</f>
        <v/>
      </c>
      <c r="F117" t="str">
        <f>IFERROR(IF(OR(INDEX(tblTrans[ProductID],116)="",ISNUMBER(SEARCH("ProductID",INDEX(tblTrans[ProductID],116)))),"",_xlfn.XLOOKUP(B117,tblProducts[ProductID],tblProducts[ProductName],"")),"")</f>
        <v/>
      </c>
      <c r="G117" t="str">
        <f>IFERROR(IF(OR(INDEX(tblTrans[ProductID],116)="",ISNUMBER(SEARCH("ProductID",INDEX(tblTrans[ProductID],116)))),"",_xlfn.XLOOKUP(B117,tblProducts[ProductID],tblProducts[Category],"")),"")</f>
        <v/>
      </c>
      <c r="H117" t="str">
        <f>IFERROR(IF(OR(INDEX(tblTrans[ProductID],116)="",ISNUMBER(SEARCH("ProductID",INDEX(tblTrans[ProductID],116)))),"",_xlfn.XLOOKUP(B117,tblProducts[ProductID],tblProducts[Supplier],"")),"")</f>
        <v/>
      </c>
      <c r="I117" t="str">
        <f>IFERROR(IF(OR(INDEX(tblTrans[ProductID],116)="",ISNUMBER(SEARCH("ProductID",INDEX(tblTrans[ProductID],116)))),"",D117*_xlfn.XLOOKUP(B117,tblProducts[ProductID],tblProducts[UnitCost],0)),"")</f>
        <v/>
      </c>
    </row>
    <row r="118" spans="1:9" x14ac:dyDescent="0.3">
      <c r="A118" s="5" t="str">
        <f>IFERROR(IF(OR(INDEX(tblTrans[ProductID],117)="",ISNUMBER(SEARCH("ProductID",INDEX(tblTrans[ProductID],117)))),"",INDEX(tblTrans[Date],117)),"")</f>
        <v/>
      </c>
      <c r="B118" t="str">
        <f>IFERROR(IF(OR(INDEX(tblTrans[ProductID],117)="",ISNUMBER(SEARCH("ProductID",INDEX(tblTrans[ProductID],117)))),"",INDEX(tblTrans[ProductID],117)),"")</f>
        <v/>
      </c>
      <c r="C118" t="str">
        <f>IFERROR(IF(OR(INDEX(tblTrans[ProductID],117)="",ISNUMBER(SEARCH("ProductID",INDEX(tblTrans[ProductID],117)))),"",INDEX(tblTrans[Location],117)),"")</f>
        <v/>
      </c>
      <c r="D118" t="str">
        <f>IFERROR(IF(OR(INDEX(tblTrans[ProductID],117)="",ISNUMBER(SEARCH("ProductID",INDEX(tblTrans[ProductID],117)))),"",INDEX(tblTrans[Quantity],117)),"")</f>
        <v/>
      </c>
      <c r="E118" t="str">
        <f>IFERROR(IF(OR(INDEX(tblTrans[ProductID],117)="",ISNUMBER(SEARCH("ProductID",INDEX(tblTrans[ProductID],117)))),"",INDEX(tblTrans[Type],117)),"")</f>
        <v/>
      </c>
      <c r="F118" t="str">
        <f>IFERROR(IF(OR(INDEX(tblTrans[ProductID],117)="",ISNUMBER(SEARCH("ProductID",INDEX(tblTrans[ProductID],117)))),"",_xlfn.XLOOKUP(B118,tblProducts[ProductID],tblProducts[ProductName],"")),"")</f>
        <v/>
      </c>
      <c r="G118" t="str">
        <f>IFERROR(IF(OR(INDEX(tblTrans[ProductID],117)="",ISNUMBER(SEARCH("ProductID",INDEX(tblTrans[ProductID],117)))),"",_xlfn.XLOOKUP(B118,tblProducts[ProductID],tblProducts[Category],"")),"")</f>
        <v/>
      </c>
      <c r="H118" t="str">
        <f>IFERROR(IF(OR(INDEX(tblTrans[ProductID],117)="",ISNUMBER(SEARCH("ProductID",INDEX(tblTrans[ProductID],117)))),"",_xlfn.XLOOKUP(B118,tblProducts[ProductID],tblProducts[Supplier],"")),"")</f>
        <v/>
      </c>
      <c r="I118" t="str">
        <f>IFERROR(IF(OR(INDEX(tblTrans[ProductID],117)="",ISNUMBER(SEARCH("ProductID",INDEX(tblTrans[ProductID],117)))),"",D118*_xlfn.XLOOKUP(B118,tblProducts[ProductID],tblProducts[UnitCost],0)),"")</f>
        <v/>
      </c>
    </row>
    <row r="119" spans="1:9" x14ac:dyDescent="0.3">
      <c r="A119" s="5" t="str">
        <f>IFERROR(IF(OR(INDEX(tblTrans[ProductID],118)="",ISNUMBER(SEARCH("ProductID",INDEX(tblTrans[ProductID],118)))),"",INDEX(tblTrans[Date],118)),"")</f>
        <v/>
      </c>
      <c r="B119" t="str">
        <f>IFERROR(IF(OR(INDEX(tblTrans[ProductID],118)="",ISNUMBER(SEARCH("ProductID",INDEX(tblTrans[ProductID],118)))),"",INDEX(tblTrans[ProductID],118)),"")</f>
        <v/>
      </c>
      <c r="C119" t="str">
        <f>IFERROR(IF(OR(INDEX(tblTrans[ProductID],118)="",ISNUMBER(SEARCH("ProductID",INDEX(tblTrans[ProductID],118)))),"",INDEX(tblTrans[Location],118)),"")</f>
        <v/>
      </c>
      <c r="D119" t="str">
        <f>IFERROR(IF(OR(INDEX(tblTrans[ProductID],118)="",ISNUMBER(SEARCH("ProductID",INDEX(tblTrans[ProductID],118)))),"",INDEX(tblTrans[Quantity],118)),"")</f>
        <v/>
      </c>
      <c r="E119" t="str">
        <f>IFERROR(IF(OR(INDEX(tblTrans[ProductID],118)="",ISNUMBER(SEARCH("ProductID",INDEX(tblTrans[ProductID],118)))),"",INDEX(tblTrans[Type],118)),"")</f>
        <v/>
      </c>
      <c r="F119" t="str">
        <f>IFERROR(IF(OR(INDEX(tblTrans[ProductID],118)="",ISNUMBER(SEARCH("ProductID",INDEX(tblTrans[ProductID],118)))),"",_xlfn.XLOOKUP(B119,tblProducts[ProductID],tblProducts[ProductName],"")),"")</f>
        <v/>
      </c>
      <c r="G119" t="str">
        <f>IFERROR(IF(OR(INDEX(tblTrans[ProductID],118)="",ISNUMBER(SEARCH("ProductID",INDEX(tblTrans[ProductID],118)))),"",_xlfn.XLOOKUP(B119,tblProducts[ProductID],tblProducts[Category],"")),"")</f>
        <v/>
      </c>
      <c r="H119" t="str">
        <f>IFERROR(IF(OR(INDEX(tblTrans[ProductID],118)="",ISNUMBER(SEARCH("ProductID",INDEX(tblTrans[ProductID],118)))),"",_xlfn.XLOOKUP(B119,tblProducts[ProductID],tblProducts[Supplier],"")),"")</f>
        <v/>
      </c>
      <c r="I119" t="str">
        <f>IFERROR(IF(OR(INDEX(tblTrans[ProductID],118)="",ISNUMBER(SEARCH("ProductID",INDEX(tblTrans[ProductID],118)))),"",D119*_xlfn.XLOOKUP(B119,tblProducts[ProductID],tblProducts[UnitCost],0)),"")</f>
        <v/>
      </c>
    </row>
    <row r="120" spans="1:9" x14ac:dyDescent="0.3">
      <c r="A120" s="5" t="str">
        <f>IFERROR(IF(OR(INDEX(tblTrans[ProductID],119)="",ISNUMBER(SEARCH("ProductID",INDEX(tblTrans[ProductID],119)))),"",INDEX(tblTrans[Date],119)),"")</f>
        <v/>
      </c>
      <c r="B120" t="str">
        <f>IFERROR(IF(OR(INDEX(tblTrans[ProductID],119)="",ISNUMBER(SEARCH("ProductID",INDEX(tblTrans[ProductID],119)))),"",INDEX(tblTrans[ProductID],119)),"")</f>
        <v/>
      </c>
      <c r="C120" t="str">
        <f>IFERROR(IF(OR(INDEX(tblTrans[ProductID],119)="",ISNUMBER(SEARCH("ProductID",INDEX(tblTrans[ProductID],119)))),"",INDEX(tblTrans[Location],119)),"")</f>
        <v/>
      </c>
      <c r="D120" t="str">
        <f>IFERROR(IF(OR(INDEX(tblTrans[ProductID],119)="",ISNUMBER(SEARCH("ProductID",INDEX(tblTrans[ProductID],119)))),"",INDEX(tblTrans[Quantity],119)),"")</f>
        <v/>
      </c>
      <c r="E120" t="str">
        <f>IFERROR(IF(OR(INDEX(tblTrans[ProductID],119)="",ISNUMBER(SEARCH("ProductID",INDEX(tblTrans[ProductID],119)))),"",INDEX(tblTrans[Type],119)),"")</f>
        <v/>
      </c>
      <c r="F120" t="str">
        <f>IFERROR(IF(OR(INDEX(tblTrans[ProductID],119)="",ISNUMBER(SEARCH("ProductID",INDEX(tblTrans[ProductID],119)))),"",_xlfn.XLOOKUP(B120,tblProducts[ProductID],tblProducts[ProductName],"")),"")</f>
        <v/>
      </c>
      <c r="G120" t="str">
        <f>IFERROR(IF(OR(INDEX(tblTrans[ProductID],119)="",ISNUMBER(SEARCH("ProductID",INDEX(tblTrans[ProductID],119)))),"",_xlfn.XLOOKUP(B120,tblProducts[ProductID],tblProducts[Category],"")),"")</f>
        <v/>
      </c>
      <c r="H120" t="str">
        <f>IFERROR(IF(OR(INDEX(tblTrans[ProductID],119)="",ISNUMBER(SEARCH("ProductID",INDEX(tblTrans[ProductID],119)))),"",_xlfn.XLOOKUP(B120,tblProducts[ProductID],tblProducts[Supplier],"")),"")</f>
        <v/>
      </c>
      <c r="I120" t="str">
        <f>IFERROR(IF(OR(INDEX(tblTrans[ProductID],119)="",ISNUMBER(SEARCH("ProductID",INDEX(tblTrans[ProductID],119)))),"",D120*_xlfn.XLOOKUP(B120,tblProducts[ProductID],tblProducts[UnitCost],0)),"")</f>
        <v/>
      </c>
    </row>
    <row r="121" spans="1:9" x14ac:dyDescent="0.3">
      <c r="A121" s="5" t="str">
        <f>IFERROR(IF(OR(INDEX(tblTrans[ProductID],120)="",ISNUMBER(SEARCH("ProductID",INDEX(tblTrans[ProductID],120)))),"",INDEX(tblTrans[Date],120)),"")</f>
        <v/>
      </c>
      <c r="B121" t="str">
        <f>IFERROR(IF(OR(INDEX(tblTrans[ProductID],120)="",ISNUMBER(SEARCH("ProductID",INDEX(tblTrans[ProductID],120)))),"",INDEX(tblTrans[ProductID],120)),"")</f>
        <v/>
      </c>
      <c r="C121" t="str">
        <f>IFERROR(IF(OR(INDEX(tblTrans[ProductID],120)="",ISNUMBER(SEARCH("ProductID",INDEX(tblTrans[ProductID],120)))),"",INDEX(tblTrans[Location],120)),"")</f>
        <v/>
      </c>
      <c r="D121" t="str">
        <f>IFERROR(IF(OR(INDEX(tblTrans[ProductID],120)="",ISNUMBER(SEARCH("ProductID",INDEX(tblTrans[ProductID],120)))),"",INDEX(tblTrans[Quantity],120)),"")</f>
        <v/>
      </c>
      <c r="E121" t="str">
        <f>IFERROR(IF(OR(INDEX(tblTrans[ProductID],120)="",ISNUMBER(SEARCH("ProductID",INDEX(tblTrans[ProductID],120)))),"",INDEX(tblTrans[Type],120)),"")</f>
        <v/>
      </c>
      <c r="F121" t="str">
        <f>IFERROR(IF(OR(INDEX(tblTrans[ProductID],120)="",ISNUMBER(SEARCH("ProductID",INDEX(tblTrans[ProductID],120)))),"",_xlfn.XLOOKUP(B121,tblProducts[ProductID],tblProducts[ProductName],"")),"")</f>
        <v/>
      </c>
      <c r="G121" t="str">
        <f>IFERROR(IF(OR(INDEX(tblTrans[ProductID],120)="",ISNUMBER(SEARCH("ProductID",INDEX(tblTrans[ProductID],120)))),"",_xlfn.XLOOKUP(B121,tblProducts[ProductID],tblProducts[Category],"")),"")</f>
        <v/>
      </c>
      <c r="H121" t="str">
        <f>IFERROR(IF(OR(INDEX(tblTrans[ProductID],120)="",ISNUMBER(SEARCH("ProductID",INDEX(tblTrans[ProductID],120)))),"",_xlfn.XLOOKUP(B121,tblProducts[ProductID],tblProducts[Supplier],"")),"")</f>
        <v/>
      </c>
      <c r="I121" t="str">
        <f>IFERROR(IF(OR(INDEX(tblTrans[ProductID],120)="",ISNUMBER(SEARCH("ProductID",INDEX(tblTrans[ProductID],120)))),"",D121*_xlfn.XLOOKUP(B121,tblProducts[ProductID],tblProducts[UnitCost],0)),"")</f>
        <v/>
      </c>
    </row>
    <row r="122" spans="1:9" x14ac:dyDescent="0.3">
      <c r="A122" s="5" t="str">
        <f>IFERROR(IF(OR(INDEX(tblTrans[ProductID],121)="",ISNUMBER(SEARCH("ProductID",INDEX(tblTrans[ProductID],121)))),"",INDEX(tblTrans[Date],121)),"")</f>
        <v/>
      </c>
      <c r="B122" t="str">
        <f>IFERROR(IF(OR(INDEX(tblTrans[ProductID],121)="",ISNUMBER(SEARCH("ProductID",INDEX(tblTrans[ProductID],121)))),"",INDEX(tblTrans[ProductID],121)),"")</f>
        <v/>
      </c>
      <c r="C122" t="str">
        <f>IFERROR(IF(OR(INDEX(tblTrans[ProductID],121)="",ISNUMBER(SEARCH("ProductID",INDEX(tblTrans[ProductID],121)))),"",INDEX(tblTrans[Location],121)),"")</f>
        <v/>
      </c>
      <c r="D122" t="str">
        <f>IFERROR(IF(OR(INDEX(tblTrans[ProductID],121)="",ISNUMBER(SEARCH("ProductID",INDEX(tblTrans[ProductID],121)))),"",INDEX(tblTrans[Quantity],121)),"")</f>
        <v/>
      </c>
      <c r="E122" t="str">
        <f>IFERROR(IF(OR(INDEX(tblTrans[ProductID],121)="",ISNUMBER(SEARCH("ProductID",INDEX(tblTrans[ProductID],121)))),"",INDEX(tblTrans[Type],121)),"")</f>
        <v/>
      </c>
      <c r="F122" t="str">
        <f>IFERROR(IF(OR(INDEX(tblTrans[ProductID],121)="",ISNUMBER(SEARCH("ProductID",INDEX(tblTrans[ProductID],121)))),"",_xlfn.XLOOKUP(B122,tblProducts[ProductID],tblProducts[ProductName],"")),"")</f>
        <v/>
      </c>
      <c r="G122" t="str">
        <f>IFERROR(IF(OR(INDEX(tblTrans[ProductID],121)="",ISNUMBER(SEARCH("ProductID",INDEX(tblTrans[ProductID],121)))),"",_xlfn.XLOOKUP(B122,tblProducts[ProductID],tblProducts[Category],"")),"")</f>
        <v/>
      </c>
      <c r="H122" t="str">
        <f>IFERROR(IF(OR(INDEX(tblTrans[ProductID],121)="",ISNUMBER(SEARCH("ProductID",INDEX(tblTrans[ProductID],121)))),"",_xlfn.XLOOKUP(B122,tblProducts[ProductID],tblProducts[Supplier],"")),"")</f>
        <v/>
      </c>
      <c r="I122" t="str">
        <f>IFERROR(IF(OR(INDEX(tblTrans[ProductID],121)="",ISNUMBER(SEARCH("ProductID",INDEX(tblTrans[ProductID],121)))),"",D122*_xlfn.XLOOKUP(B122,tblProducts[ProductID],tblProducts[UnitCost],0)),"")</f>
        <v/>
      </c>
    </row>
    <row r="123" spans="1:9" x14ac:dyDescent="0.3">
      <c r="A123" s="5" t="str">
        <f>IFERROR(IF(OR(INDEX(tblTrans[ProductID],122)="",ISNUMBER(SEARCH("ProductID",INDEX(tblTrans[ProductID],122)))),"",INDEX(tblTrans[Date],122)),"")</f>
        <v/>
      </c>
      <c r="B123" t="str">
        <f>IFERROR(IF(OR(INDEX(tblTrans[ProductID],122)="",ISNUMBER(SEARCH("ProductID",INDEX(tblTrans[ProductID],122)))),"",INDEX(tblTrans[ProductID],122)),"")</f>
        <v/>
      </c>
      <c r="C123" t="str">
        <f>IFERROR(IF(OR(INDEX(tblTrans[ProductID],122)="",ISNUMBER(SEARCH("ProductID",INDEX(tblTrans[ProductID],122)))),"",INDEX(tblTrans[Location],122)),"")</f>
        <v/>
      </c>
      <c r="D123" t="str">
        <f>IFERROR(IF(OR(INDEX(tblTrans[ProductID],122)="",ISNUMBER(SEARCH("ProductID",INDEX(tblTrans[ProductID],122)))),"",INDEX(tblTrans[Quantity],122)),"")</f>
        <v/>
      </c>
      <c r="E123" t="str">
        <f>IFERROR(IF(OR(INDEX(tblTrans[ProductID],122)="",ISNUMBER(SEARCH("ProductID",INDEX(tblTrans[ProductID],122)))),"",INDEX(tblTrans[Type],122)),"")</f>
        <v/>
      </c>
      <c r="F123" t="str">
        <f>IFERROR(IF(OR(INDEX(tblTrans[ProductID],122)="",ISNUMBER(SEARCH("ProductID",INDEX(tblTrans[ProductID],122)))),"",_xlfn.XLOOKUP(B123,tblProducts[ProductID],tblProducts[ProductName],"")),"")</f>
        <v/>
      </c>
      <c r="G123" t="str">
        <f>IFERROR(IF(OR(INDEX(tblTrans[ProductID],122)="",ISNUMBER(SEARCH("ProductID",INDEX(tblTrans[ProductID],122)))),"",_xlfn.XLOOKUP(B123,tblProducts[ProductID],tblProducts[Category],"")),"")</f>
        <v/>
      </c>
      <c r="H123" t="str">
        <f>IFERROR(IF(OR(INDEX(tblTrans[ProductID],122)="",ISNUMBER(SEARCH("ProductID",INDEX(tblTrans[ProductID],122)))),"",_xlfn.XLOOKUP(B123,tblProducts[ProductID],tblProducts[Supplier],"")),"")</f>
        <v/>
      </c>
      <c r="I123" t="str">
        <f>IFERROR(IF(OR(INDEX(tblTrans[ProductID],122)="",ISNUMBER(SEARCH("ProductID",INDEX(tblTrans[ProductID],122)))),"",D123*_xlfn.XLOOKUP(B123,tblProducts[ProductID],tblProducts[UnitCost],0)),"")</f>
        <v/>
      </c>
    </row>
    <row r="124" spans="1:9" x14ac:dyDescent="0.3">
      <c r="A124" s="5" t="str">
        <f>IFERROR(IF(OR(INDEX(tblTrans[ProductID],123)="",ISNUMBER(SEARCH("ProductID",INDEX(tblTrans[ProductID],123)))),"",INDEX(tblTrans[Date],123)),"")</f>
        <v/>
      </c>
      <c r="B124" t="str">
        <f>IFERROR(IF(OR(INDEX(tblTrans[ProductID],123)="",ISNUMBER(SEARCH("ProductID",INDEX(tblTrans[ProductID],123)))),"",INDEX(tblTrans[ProductID],123)),"")</f>
        <v/>
      </c>
      <c r="C124" t="str">
        <f>IFERROR(IF(OR(INDEX(tblTrans[ProductID],123)="",ISNUMBER(SEARCH("ProductID",INDEX(tblTrans[ProductID],123)))),"",INDEX(tblTrans[Location],123)),"")</f>
        <v/>
      </c>
      <c r="D124" t="str">
        <f>IFERROR(IF(OR(INDEX(tblTrans[ProductID],123)="",ISNUMBER(SEARCH("ProductID",INDEX(tblTrans[ProductID],123)))),"",INDEX(tblTrans[Quantity],123)),"")</f>
        <v/>
      </c>
      <c r="E124" t="str">
        <f>IFERROR(IF(OR(INDEX(tblTrans[ProductID],123)="",ISNUMBER(SEARCH("ProductID",INDEX(tblTrans[ProductID],123)))),"",INDEX(tblTrans[Type],123)),"")</f>
        <v/>
      </c>
      <c r="F124" t="str">
        <f>IFERROR(IF(OR(INDEX(tblTrans[ProductID],123)="",ISNUMBER(SEARCH("ProductID",INDEX(tblTrans[ProductID],123)))),"",_xlfn.XLOOKUP(B124,tblProducts[ProductID],tblProducts[ProductName],"")),"")</f>
        <v/>
      </c>
      <c r="G124" t="str">
        <f>IFERROR(IF(OR(INDEX(tblTrans[ProductID],123)="",ISNUMBER(SEARCH("ProductID",INDEX(tblTrans[ProductID],123)))),"",_xlfn.XLOOKUP(B124,tblProducts[ProductID],tblProducts[Category],"")),"")</f>
        <v/>
      </c>
      <c r="H124" t="str">
        <f>IFERROR(IF(OR(INDEX(tblTrans[ProductID],123)="",ISNUMBER(SEARCH("ProductID",INDEX(tblTrans[ProductID],123)))),"",_xlfn.XLOOKUP(B124,tblProducts[ProductID],tblProducts[Supplier],"")),"")</f>
        <v/>
      </c>
      <c r="I124" t="str">
        <f>IFERROR(IF(OR(INDEX(tblTrans[ProductID],123)="",ISNUMBER(SEARCH("ProductID",INDEX(tblTrans[ProductID],123)))),"",D124*_xlfn.XLOOKUP(B124,tblProducts[ProductID],tblProducts[UnitCost],0)),"")</f>
        <v/>
      </c>
    </row>
    <row r="125" spans="1:9" x14ac:dyDescent="0.3">
      <c r="A125" s="5" t="str">
        <f>IFERROR(IF(OR(INDEX(tblTrans[ProductID],124)="",ISNUMBER(SEARCH("ProductID",INDEX(tblTrans[ProductID],124)))),"",INDEX(tblTrans[Date],124)),"")</f>
        <v/>
      </c>
      <c r="B125" t="str">
        <f>IFERROR(IF(OR(INDEX(tblTrans[ProductID],124)="",ISNUMBER(SEARCH("ProductID",INDEX(tblTrans[ProductID],124)))),"",INDEX(tblTrans[ProductID],124)),"")</f>
        <v/>
      </c>
      <c r="C125" t="str">
        <f>IFERROR(IF(OR(INDEX(tblTrans[ProductID],124)="",ISNUMBER(SEARCH("ProductID",INDEX(tblTrans[ProductID],124)))),"",INDEX(tblTrans[Location],124)),"")</f>
        <v/>
      </c>
      <c r="D125" t="str">
        <f>IFERROR(IF(OR(INDEX(tblTrans[ProductID],124)="",ISNUMBER(SEARCH("ProductID",INDEX(tblTrans[ProductID],124)))),"",INDEX(tblTrans[Quantity],124)),"")</f>
        <v/>
      </c>
      <c r="E125" t="str">
        <f>IFERROR(IF(OR(INDEX(tblTrans[ProductID],124)="",ISNUMBER(SEARCH("ProductID",INDEX(tblTrans[ProductID],124)))),"",INDEX(tblTrans[Type],124)),"")</f>
        <v/>
      </c>
      <c r="F125" t="str">
        <f>IFERROR(IF(OR(INDEX(tblTrans[ProductID],124)="",ISNUMBER(SEARCH("ProductID",INDEX(tblTrans[ProductID],124)))),"",_xlfn.XLOOKUP(B125,tblProducts[ProductID],tblProducts[ProductName],"")),"")</f>
        <v/>
      </c>
      <c r="G125" t="str">
        <f>IFERROR(IF(OR(INDEX(tblTrans[ProductID],124)="",ISNUMBER(SEARCH("ProductID",INDEX(tblTrans[ProductID],124)))),"",_xlfn.XLOOKUP(B125,tblProducts[ProductID],tblProducts[Category],"")),"")</f>
        <v/>
      </c>
      <c r="H125" t="str">
        <f>IFERROR(IF(OR(INDEX(tblTrans[ProductID],124)="",ISNUMBER(SEARCH("ProductID",INDEX(tblTrans[ProductID],124)))),"",_xlfn.XLOOKUP(B125,tblProducts[ProductID],tblProducts[Supplier],"")),"")</f>
        <v/>
      </c>
      <c r="I125" t="str">
        <f>IFERROR(IF(OR(INDEX(tblTrans[ProductID],124)="",ISNUMBER(SEARCH("ProductID",INDEX(tblTrans[ProductID],124)))),"",D125*_xlfn.XLOOKUP(B125,tblProducts[ProductID],tblProducts[UnitCost],0)),"")</f>
        <v/>
      </c>
    </row>
    <row r="126" spans="1:9" x14ac:dyDescent="0.3">
      <c r="A126" s="5" t="str">
        <f>IFERROR(IF(OR(INDEX(tblTrans[ProductID],125)="",ISNUMBER(SEARCH("ProductID",INDEX(tblTrans[ProductID],125)))),"",INDEX(tblTrans[Date],125)),"")</f>
        <v/>
      </c>
      <c r="B126" t="str">
        <f>IFERROR(IF(OR(INDEX(tblTrans[ProductID],125)="",ISNUMBER(SEARCH("ProductID",INDEX(tblTrans[ProductID],125)))),"",INDEX(tblTrans[ProductID],125)),"")</f>
        <v/>
      </c>
      <c r="C126" t="str">
        <f>IFERROR(IF(OR(INDEX(tblTrans[ProductID],125)="",ISNUMBER(SEARCH("ProductID",INDEX(tblTrans[ProductID],125)))),"",INDEX(tblTrans[Location],125)),"")</f>
        <v/>
      </c>
      <c r="D126" t="str">
        <f>IFERROR(IF(OR(INDEX(tblTrans[ProductID],125)="",ISNUMBER(SEARCH("ProductID",INDEX(tblTrans[ProductID],125)))),"",INDEX(tblTrans[Quantity],125)),"")</f>
        <v/>
      </c>
      <c r="E126" t="str">
        <f>IFERROR(IF(OR(INDEX(tblTrans[ProductID],125)="",ISNUMBER(SEARCH("ProductID",INDEX(tblTrans[ProductID],125)))),"",INDEX(tblTrans[Type],125)),"")</f>
        <v/>
      </c>
      <c r="F126" t="str">
        <f>IFERROR(IF(OR(INDEX(tblTrans[ProductID],125)="",ISNUMBER(SEARCH("ProductID",INDEX(tblTrans[ProductID],125)))),"",_xlfn.XLOOKUP(B126,tblProducts[ProductID],tblProducts[ProductName],"")),"")</f>
        <v/>
      </c>
      <c r="G126" t="str">
        <f>IFERROR(IF(OR(INDEX(tblTrans[ProductID],125)="",ISNUMBER(SEARCH("ProductID",INDEX(tblTrans[ProductID],125)))),"",_xlfn.XLOOKUP(B126,tblProducts[ProductID],tblProducts[Category],"")),"")</f>
        <v/>
      </c>
      <c r="H126" t="str">
        <f>IFERROR(IF(OR(INDEX(tblTrans[ProductID],125)="",ISNUMBER(SEARCH("ProductID",INDEX(tblTrans[ProductID],125)))),"",_xlfn.XLOOKUP(B126,tblProducts[ProductID],tblProducts[Supplier],"")),"")</f>
        <v/>
      </c>
      <c r="I126" t="str">
        <f>IFERROR(IF(OR(INDEX(tblTrans[ProductID],125)="",ISNUMBER(SEARCH("ProductID",INDEX(tblTrans[ProductID],125)))),"",D126*_xlfn.XLOOKUP(B126,tblProducts[ProductID],tblProducts[UnitCost],0)),"")</f>
        <v/>
      </c>
    </row>
    <row r="127" spans="1:9" x14ac:dyDescent="0.3">
      <c r="A127" s="5" t="str">
        <f>IFERROR(IF(OR(INDEX(tblTrans[ProductID],126)="",ISNUMBER(SEARCH("ProductID",INDEX(tblTrans[ProductID],126)))),"",INDEX(tblTrans[Date],126)),"")</f>
        <v/>
      </c>
      <c r="B127" t="str">
        <f>IFERROR(IF(OR(INDEX(tblTrans[ProductID],126)="",ISNUMBER(SEARCH("ProductID",INDEX(tblTrans[ProductID],126)))),"",INDEX(tblTrans[ProductID],126)),"")</f>
        <v/>
      </c>
      <c r="C127" t="str">
        <f>IFERROR(IF(OR(INDEX(tblTrans[ProductID],126)="",ISNUMBER(SEARCH("ProductID",INDEX(tblTrans[ProductID],126)))),"",INDEX(tblTrans[Location],126)),"")</f>
        <v/>
      </c>
      <c r="D127" t="str">
        <f>IFERROR(IF(OR(INDEX(tblTrans[ProductID],126)="",ISNUMBER(SEARCH("ProductID",INDEX(tblTrans[ProductID],126)))),"",INDEX(tblTrans[Quantity],126)),"")</f>
        <v/>
      </c>
      <c r="E127" t="str">
        <f>IFERROR(IF(OR(INDEX(tblTrans[ProductID],126)="",ISNUMBER(SEARCH("ProductID",INDEX(tblTrans[ProductID],126)))),"",INDEX(tblTrans[Type],126)),"")</f>
        <v/>
      </c>
      <c r="F127" t="str">
        <f>IFERROR(IF(OR(INDEX(tblTrans[ProductID],126)="",ISNUMBER(SEARCH("ProductID",INDEX(tblTrans[ProductID],126)))),"",_xlfn.XLOOKUP(B127,tblProducts[ProductID],tblProducts[ProductName],"")),"")</f>
        <v/>
      </c>
      <c r="G127" t="str">
        <f>IFERROR(IF(OR(INDEX(tblTrans[ProductID],126)="",ISNUMBER(SEARCH("ProductID",INDEX(tblTrans[ProductID],126)))),"",_xlfn.XLOOKUP(B127,tblProducts[ProductID],tblProducts[Category],"")),"")</f>
        <v/>
      </c>
      <c r="H127" t="str">
        <f>IFERROR(IF(OR(INDEX(tblTrans[ProductID],126)="",ISNUMBER(SEARCH("ProductID",INDEX(tblTrans[ProductID],126)))),"",_xlfn.XLOOKUP(B127,tblProducts[ProductID],tblProducts[Supplier],"")),"")</f>
        <v/>
      </c>
      <c r="I127" t="str">
        <f>IFERROR(IF(OR(INDEX(tblTrans[ProductID],126)="",ISNUMBER(SEARCH("ProductID",INDEX(tblTrans[ProductID],126)))),"",D127*_xlfn.XLOOKUP(B127,tblProducts[ProductID],tblProducts[UnitCost],0)),"")</f>
        <v/>
      </c>
    </row>
    <row r="128" spans="1:9" x14ac:dyDescent="0.3">
      <c r="A128" s="5" t="str">
        <f>IFERROR(IF(OR(INDEX(tblTrans[ProductID],127)="",ISNUMBER(SEARCH("ProductID",INDEX(tblTrans[ProductID],127)))),"",INDEX(tblTrans[Date],127)),"")</f>
        <v/>
      </c>
      <c r="B128" t="str">
        <f>IFERROR(IF(OR(INDEX(tblTrans[ProductID],127)="",ISNUMBER(SEARCH("ProductID",INDEX(tblTrans[ProductID],127)))),"",INDEX(tblTrans[ProductID],127)),"")</f>
        <v/>
      </c>
      <c r="C128" t="str">
        <f>IFERROR(IF(OR(INDEX(tblTrans[ProductID],127)="",ISNUMBER(SEARCH("ProductID",INDEX(tblTrans[ProductID],127)))),"",INDEX(tblTrans[Location],127)),"")</f>
        <v/>
      </c>
      <c r="D128" t="str">
        <f>IFERROR(IF(OR(INDEX(tblTrans[ProductID],127)="",ISNUMBER(SEARCH("ProductID",INDEX(tblTrans[ProductID],127)))),"",INDEX(tblTrans[Quantity],127)),"")</f>
        <v/>
      </c>
      <c r="E128" t="str">
        <f>IFERROR(IF(OR(INDEX(tblTrans[ProductID],127)="",ISNUMBER(SEARCH("ProductID",INDEX(tblTrans[ProductID],127)))),"",INDEX(tblTrans[Type],127)),"")</f>
        <v/>
      </c>
      <c r="F128" t="str">
        <f>IFERROR(IF(OR(INDEX(tblTrans[ProductID],127)="",ISNUMBER(SEARCH("ProductID",INDEX(tblTrans[ProductID],127)))),"",_xlfn.XLOOKUP(B128,tblProducts[ProductID],tblProducts[ProductName],"")),"")</f>
        <v/>
      </c>
      <c r="G128" t="str">
        <f>IFERROR(IF(OR(INDEX(tblTrans[ProductID],127)="",ISNUMBER(SEARCH("ProductID",INDEX(tblTrans[ProductID],127)))),"",_xlfn.XLOOKUP(B128,tblProducts[ProductID],tblProducts[Category],"")),"")</f>
        <v/>
      </c>
      <c r="H128" t="str">
        <f>IFERROR(IF(OR(INDEX(tblTrans[ProductID],127)="",ISNUMBER(SEARCH("ProductID",INDEX(tblTrans[ProductID],127)))),"",_xlfn.XLOOKUP(B128,tblProducts[ProductID],tblProducts[Supplier],"")),"")</f>
        <v/>
      </c>
      <c r="I128" t="str">
        <f>IFERROR(IF(OR(INDEX(tblTrans[ProductID],127)="",ISNUMBER(SEARCH("ProductID",INDEX(tblTrans[ProductID],127)))),"",D128*_xlfn.XLOOKUP(B128,tblProducts[ProductID],tblProducts[UnitCost],0)),"")</f>
        <v/>
      </c>
    </row>
    <row r="129" spans="1:9" x14ac:dyDescent="0.3">
      <c r="A129" s="5" t="str">
        <f>IFERROR(IF(OR(INDEX(tblTrans[ProductID],128)="",ISNUMBER(SEARCH("ProductID",INDEX(tblTrans[ProductID],128)))),"",INDEX(tblTrans[Date],128)),"")</f>
        <v/>
      </c>
      <c r="B129" t="str">
        <f>IFERROR(IF(OR(INDEX(tblTrans[ProductID],128)="",ISNUMBER(SEARCH("ProductID",INDEX(tblTrans[ProductID],128)))),"",INDEX(tblTrans[ProductID],128)),"")</f>
        <v/>
      </c>
      <c r="C129" t="str">
        <f>IFERROR(IF(OR(INDEX(tblTrans[ProductID],128)="",ISNUMBER(SEARCH("ProductID",INDEX(tblTrans[ProductID],128)))),"",INDEX(tblTrans[Location],128)),"")</f>
        <v/>
      </c>
      <c r="D129" t="str">
        <f>IFERROR(IF(OR(INDEX(tblTrans[ProductID],128)="",ISNUMBER(SEARCH("ProductID",INDEX(tblTrans[ProductID],128)))),"",INDEX(tblTrans[Quantity],128)),"")</f>
        <v/>
      </c>
      <c r="E129" t="str">
        <f>IFERROR(IF(OR(INDEX(tblTrans[ProductID],128)="",ISNUMBER(SEARCH("ProductID",INDEX(tblTrans[ProductID],128)))),"",INDEX(tblTrans[Type],128)),"")</f>
        <v/>
      </c>
      <c r="F129" t="str">
        <f>IFERROR(IF(OR(INDEX(tblTrans[ProductID],128)="",ISNUMBER(SEARCH("ProductID",INDEX(tblTrans[ProductID],128)))),"",_xlfn.XLOOKUP(B129,tblProducts[ProductID],tblProducts[ProductName],"")),"")</f>
        <v/>
      </c>
      <c r="G129" t="str">
        <f>IFERROR(IF(OR(INDEX(tblTrans[ProductID],128)="",ISNUMBER(SEARCH("ProductID",INDEX(tblTrans[ProductID],128)))),"",_xlfn.XLOOKUP(B129,tblProducts[ProductID],tblProducts[Category],"")),"")</f>
        <v/>
      </c>
      <c r="H129" t="str">
        <f>IFERROR(IF(OR(INDEX(tblTrans[ProductID],128)="",ISNUMBER(SEARCH("ProductID",INDEX(tblTrans[ProductID],128)))),"",_xlfn.XLOOKUP(B129,tblProducts[ProductID],tblProducts[Supplier],"")),"")</f>
        <v/>
      </c>
      <c r="I129" t="str">
        <f>IFERROR(IF(OR(INDEX(tblTrans[ProductID],128)="",ISNUMBER(SEARCH("ProductID",INDEX(tblTrans[ProductID],128)))),"",D129*_xlfn.XLOOKUP(B129,tblProducts[ProductID],tblProducts[UnitCost],0)),"")</f>
        <v/>
      </c>
    </row>
    <row r="130" spans="1:9" x14ac:dyDescent="0.3">
      <c r="A130" s="5" t="str">
        <f>IFERROR(IF(OR(INDEX(tblTrans[ProductID],129)="",ISNUMBER(SEARCH("ProductID",INDEX(tblTrans[ProductID],129)))),"",INDEX(tblTrans[Date],129)),"")</f>
        <v/>
      </c>
      <c r="B130" t="str">
        <f>IFERROR(IF(OR(INDEX(tblTrans[ProductID],129)="",ISNUMBER(SEARCH("ProductID",INDEX(tblTrans[ProductID],129)))),"",INDEX(tblTrans[ProductID],129)),"")</f>
        <v/>
      </c>
      <c r="C130" t="str">
        <f>IFERROR(IF(OR(INDEX(tblTrans[ProductID],129)="",ISNUMBER(SEARCH("ProductID",INDEX(tblTrans[ProductID],129)))),"",INDEX(tblTrans[Location],129)),"")</f>
        <v/>
      </c>
      <c r="D130" t="str">
        <f>IFERROR(IF(OR(INDEX(tblTrans[ProductID],129)="",ISNUMBER(SEARCH("ProductID",INDEX(tblTrans[ProductID],129)))),"",INDEX(tblTrans[Quantity],129)),"")</f>
        <v/>
      </c>
      <c r="E130" t="str">
        <f>IFERROR(IF(OR(INDEX(tblTrans[ProductID],129)="",ISNUMBER(SEARCH("ProductID",INDEX(tblTrans[ProductID],129)))),"",INDEX(tblTrans[Type],129)),"")</f>
        <v/>
      </c>
      <c r="F130" t="str">
        <f>IFERROR(IF(OR(INDEX(tblTrans[ProductID],129)="",ISNUMBER(SEARCH("ProductID",INDEX(tblTrans[ProductID],129)))),"",_xlfn.XLOOKUP(B130,tblProducts[ProductID],tblProducts[ProductName],"")),"")</f>
        <v/>
      </c>
      <c r="G130" t="str">
        <f>IFERROR(IF(OR(INDEX(tblTrans[ProductID],129)="",ISNUMBER(SEARCH("ProductID",INDEX(tblTrans[ProductID],129)))),"",_xlfn.XLOOKUP(B130,tblProducts[ProductID],tblProducts[Category],"")),"")</f>
        <v/>
      </c>
      <c r="H130" t="str">
        <f>IFERROR(IF(OR(INDEX(tblTrans[ProductID],129)="",ISNUMBER(SEARCH("ProductID",INDEX(tblTrans[ProductID],129)))),"",_xlfn.XLOOKUP(B130,tblProducts[ProductID],tblProducts[Supplier],"")),"")</f>
        <v/>
      </c>
      <c r="I130" t="str">
        <f>IFERROR(IF(OR(INDEX(tblTrans[ProductID],129)="",ISNUMBER(SEARCH("ProductID",INDEX(tblTrans[ProductID],129)))),"",D130*_xlfn.XLOOKUP(B130,tblProducts[ProductID],tblProducts[UnitCost],0)),"")</f>
        <v/>
      </c>
    </row>
    <row r="131" spans="1:9" x14ac:dyDescent="0.3">
      <c r="A131" s="5" t="str">
        <f>IFERROR(IF(OR(INDEX(tblTrans[ProductID],130)="",ISNUMBER(SEARCH("ProductID",INDEX(tblTrans[ProductID],130)))),"",INDEX(tblTrans[Date],130)),"")</f>
        <v/>
      </c>
      <c r="B131" t="str">
        <f>IFERROR(IF(OR(INDEX(tblTrans[ProductID],130)="",ISNUMBER(SEARCH("ProductID",INDEX(tblTrans[ProductID],130)))),"",INDEX(tblTrans[ProductID],130)),"")</f>
        <v/>
      </c>
      <c r="C131" t="str">
        <f>IFERROR(IF(OR(INDEX(tblTrans[ProductID],130)="",ISNUMBER(SEARCH("ProductID",INDEX(tblTrans[ProductID],130)))),"",INDEX(tblTrans[Location],130)),"")</f>
        <v/>
      </c>
      <c r="D131" t="str">
        <f>IFERROR(IF(OR(INDEX(tblTrans[ProductID],130)="",ISNUMBER(SEARCH("ProductID",INDEX(tblTrans[ProductID],130)))),"",INDEX(tblTrans[Quantity],130)),"")</f>
        <v/>
      </c>
      <c r="E131" t="str">
        <f>IFERROR(IF(OR(INDEX(tblTrans[ProductID],130)="",ISNUMBER(SEARCH("ProductID",INDEX(tblTrans[ProductID],130)))),"",INDEX(tblTrans[Type],130)),"")</f>
        <v/>
      </c>
      <c r="F131" t="str">
        <f>IFERROR(IF(OR(INDEX(tblTrans[ProductID],130)="",ISNUMBER(SEARCH("ProductID",INDEX(tblTrans[ProductID],130)))),"",_xlfn.XLOOKUP(B131,tblProducts[ProductID],tblProducts[ProductName],"")),"")</f>
        <v/>
      </c>
      <c r="G131" t="str">
        <f>IFERROR(IF(OR(INDEX(tblTrans[ProductID],130)="",ISNUMBER(SEARCH("ProductID",INDEX(tblTrans[ProductID],130)))),"",_xlfn.XLOOKUP(B131,tblProducts[ProductID],tblProducts[Category],"")),"")</f>
        <v/>
      </c>
      <c r="H131" t="str">
        <f>IFERROR(IF(OR(INDEX(tblTrans[ProductID],130)="",ISNUMBER(SEARCH("ProductID",INDEX(tblTrans[ProductID],130)))),"",_xlfn.XLOOKUP(B131,tblProducts[ProductID],tblProducts[Supplier],"")),"")</f>
        <v/>
      </c>
      <c r="I131" t="str">
        <f>IFERROR(IF(OR(INDEX(tblTrans[ProductID],130)="",ISNUMBER(SEARCH("ProductID",INDEX(tblTrans[ProductID],130)))),"",D131*_xlfn.XLOOKUP(B131,tblProducts[ProductID],tblProducts[UnitCost],0)),"")</f>
        <v/>
      </c>
    </row>
    <row r="132" spans="1:9" x14ac:dyDescent="0.3">
      <c r="A132" s="5" t="str">
        <f>IFERROR(IF(OR(INDEX(tblTrans[ProductID],131)="",ISNUMBER(SEARCH("ProductID",INDEX(tblTrans[ProductID],131)))),"",INDEX(tblTrans[Date],131)),"")</f>
        <v/>
      </c>
      <c r="B132" t="str">
        <f>IFERROR(IF(OR(INDEX(tblTrans[ProductID],131)="",ISNUMBER(SEARCH("ProductID",INDEX(tblTrans[ProductID],131)))),"",INDEX(tblTrans[ProductID],131)),"")</f>
        <v/>
      </c>
      <c r="C132" t="str">
        <f>IFERROR(IF(OR(INDEX(tblTrans[ProductID],131)="",ISNUMBER(SEARCH("ProductID",INDEX(tblTrans[ProductID],131)))),"",INDEX(tblTrans[Location],131)),"")</f>
        <v/>
      </c>
      <c r="D132" t="str">
        <f>IFERROR(IF(OR(INDEX(tblTrans[ProductID],131)="",ISNUMBER(SEARCH("ProductID",INDEX(tblTrans[ProductID],131)))),"",INDEX(tblTrans[Quantity],131)),"")</f>
        <v/>
      </c>
      <c r="E132" t="str">
        <f>IFERROR(IF(OR(INDEX(tblTrans[ProductID],131)="",ISNUMBER(SEARCH("ProductID",INDEX(tblTrans[ProductID],131)))),"",INDEX(tblTrans[Type],131)),"")</f>
        <v/>
      </c>
      <c r="F132" t="str">
        <f>IFERROR(IF(OR(INDEX(tblTrans[ProductID],131)="",ISNUMBER(SEARCH("ProductID",INDEX(tblTrans[ProductID],131)))),"",_xlfn.XLOOKUP(B132,tblProducts[ProductID],tblProducts[ProductName],"")),"")</f>
        <v/>
      </c>
      <c r="G132" t="str">
        <f>IFERROR(IF(OR(INDEX(tblTrans[ProductID],131)="",ISNUMBER(SEARCH("ProductID",INDEX(tblTrans[ProductID],131)))),"",_xlfn.XLOOKUP(B132,tblProducts[ProductID],tblProducts[Category],"")),"")</f>
        <v/>
      </c>
      <c r="H132" t="str">
        <f>IFERROR(IF(OR(INDEX(tblTrans[ProductID],131)="",ISNUMBER(SEARCH("ProductID",INDEX(tblTrans[ProductID],131)))),"",_xlfn.XLOOKUP(B132,tblProducts[ProductID],tblProducts[Supplier],"")),"")</f>
        <v/>
      </c>
      <c r="I132" t="str">
        <f>IFERROR(IF(OR(INDEX(tblTrans[ProductID],131)="",ISNUMBER(SEARCH("ProductID",INDEX(tblTrans[ProductID],131)))),"",D132*_xlfn.XLOOKUP(B132,tblProducts[ProductID],tblProducts[UnitCost],0)),"")</f>
        <v/>
      </c>
    </row>
    <row r="133" spans="1:9" x14ac:dyDescent="0.3">
      <c r="A133" s="5" t="str">
        <f>IFERROR(IF(OR(INDEX(tblTrans[ProductID],132)="",ISNUMBER(SEARCH("ProductID",INDEX(tblTrans[ProductID],132)))),"",INDEX(tblTrans[Date],132)),"")</f>
        <v/>
      </c>
      <c r="B133" t="str">
        <f>IFERROR(IF(OR(INDEX(tblTrans[ProductID],132)="",ISNUMBER(SEARCH("ProductID",INDEX(tblTrans[ProductID],132)))),"",INDEX(tblTrans[ProductID],132)),"")</f>
        <v/>
      </c>
      <c r="C133" t="str">
        <f>IFERROR(IF(OR(INDEX(tblTrans[ProductID],132)="",ISNUMBER(SEARCH("ProductID",INDEX(tblTrans[ProductID],132)))),"",INDEX(tblTrans[Location],132)),"")</f>
        <v/>
      </c>
      <c r="D133" t="str">
        <f>IFERROR(IF(OR(INDEX(tblTrans[ProductID],132)="",ISNUMBER(SEARCH("ProductID",INDEX(tblTrans[ProductID],132)))),"",INDEX(tblTrans[Quantity],132)),"")</f>
        <v/>
      </c>
      <c r="E133" t="str">
        <f>IFERROR(IF(OR(INDEX(tblTrans[ProductID],132)="",ISNUMBER(SEARCH("ProductID",INDEX(tblTrans[ProductID],132)))),"",INDEX(tblTrans[Type],132)),"")</f>
        <v/>
      </c>
      <c r="F133" t="str">
        <f>IFERROR(IF(OR(INDEX(tblTrans[ProductID],132)="",ISNUMBER(SEARCH("ProductID",INDEX(tblTrans[ProductID],132)))),"",_xlfn.XLOOKUP(B133,tblProducts[ProductID],tblProducts[ProductName],"")),"")</f>
        <v/>
      </c>
      <c r="G133" t="str">
        <f>IFERROR(IF(OR(INDEX(tblTrans[ProductID],132)="",ISNUMBER(SEARCH("ProductID",INDEX(tblTrans[ProductID],132)))),"",_xlfn.XLOOKUP(B133,tblProducts[ProductID],tblProducts[Category],"")),"")</f>
        <v/>
      </c>
      <c r="H133" t="str">
        <f>IFERROR(IF(OR(INDEX(tblTrans[ProductID],132)="",ISNUMBER(SEARCH("ProductID",INDEX(tblTrans[ProductID],132)))),"",_xlfn.XLOOKUP(B133,tblProducts[ProductID],tblProducts[Supplier],"")),"")</f>
        <v/>
      </c>
      <c r="I133" t="str">
        <f>IFERROR(IF(OR(INDEX(tblTrans[ProductID],132)="",ISNUMBER(SEARCH("ProductID",INDEX(tblTrans[ProductID],132)))),"",D133*_xlfn.XLOOKUP(B133,tblProducts[ProductID],tblProducts[UnitCost],0)),"")</f>
        <v/>
      </c>
    </row>
    <row r="134" spans="1:9" x14ac:dyDescent="0.3">
      <c r="A134" s="5" t="str">
        <f>IFERROR(IF(OR(INDEX(tblTrans[ProductID],133)="",ISNUMBER(SEARCH("ProductID",INDEX(tblTrans[ProductID],133)))),"",INDEX(tblTrans[Date],133)),"")</f>
        <v/>
      </c>
      <c r="B134" t="str">
        <f>IFERROR(IF(OR(INDEX(tblTrans[ProductID],133)="",ISNUMBER(SEARCH("ProductID",INDEX(tblTrans[ProductID],133)))),"",INDEX(tblTrans[ProductID],133)),"")</f>
        <v/>
      </c>
      <c r="C134" t="str">
        <f>IFERROR(IF(OR(INDEX(tblTrans[ProductID],133)="",ISNUMBER(SEARCH("ProductID",INDEX(tblTrans[ProductID],133)))),"",INDEX(tblTrans[Location],133)),"")</f>
        <v/>
      </c>
      <c r="D134" t="str">
        <f>IFERROR(IF(OR(INDEX(tblTrans[ProductID],133)="",ISNUMBER(SEARCH("ProductID",INDEX(tblTrans[ProductID],133)))),"",INDEX(tblTrans[Quantity],133)),"")</f>
        <v/>
      </c>
      <c r="E134" t="str">
        <f>IFERROR(IF(OR(INDEX(tblTrans[ProductID],133)="",ISNUMBER(SEARCH("ProductID",INDEX(tblTrans[ProductID],133)))),"",INDEX(tblTrans[Type],133)),"")</f>
        <v/>
      </c>
      <c r="F134" t="str">
        <f>IFERROR(IF(OR(INDEX(tblTrans[ProductID],133)="",ISNUMBER(SEARCH("ProductID",INDEX(tblTrans[ProductID],133)))),"",_xlfn.XLOOKUP(B134,tblProducts[ProductID],tblProducts[ProductName],"")),"")</f>
        <v/>
      </c>
      <c r="G134" t="str">
        <f>IFERROR(IF(OR(INDEX(tblTrans[ProductID],133)="",ISNUMBER(SEARCH("ProductID",INDEX(tblTrans[ProductID],133)))),"",_xlfn.XLOOKUP(B134,tblProducts[ProductID],tblProducts[Category],"")),"")</f>
        <v/>
      </c>
      <c r="H134" t="str">
        <f>IFERROR(IF(OR(INDEX(tblTrans[ProductID],133)="",ISNUMBER(SEARCH("ProductID",INDEX(tblTrans[ProductID],133)))),"",_xlfn.XLOOKUP(B134,tblProducts[ProductID],tblProducts[Supplier],"")),"")</f>
        <v/>
      </c>
      <c r="I134" t="str">
        <f>IFERROR(IF(OR(INDEX(tblTrans[ProductID],133)="",ISNUMBER(SEARCH("ProductID",INDEX(tblTrans[ProductID],133)))),"",D134*_xlfn.XLOOKUP(B134,tblProducts[ProductID],tblProducts[UnitCost],0)),"")</f>
        <v/>
      </c>
    </row>
    <row r="135" spans="1:9" x14ac:dyDescent="0.3">
      <c r="A135" s="5" t="str">
        <f>IFERROR(IF(OR(INDEX(tblTrans[ProductID],134)="",ISNUMBER(SEARCH("ProductID",INDEX(tblTrans[ProductID],134)))),"",INDEX(tblTrans[Date],134)),"")</f>
        <v/>
      </c>
      <c r="B135" t="str">
        <f>IFERROR(IF(OR(INDEX(tblTrans[ProductID],134)="",ISNUMBER(SEARCH("ProductID",INDEX(tblTrans[ProductID],134)))),"",INDEX(tblTrans[ProductID],134)),"")</f>
        <v/>
      </c>
      <c r="C135" t="str">
        <f>IFERROR(IF(OR(INDEX(tblTrans[ProductID],134)="",ISNUMBER(SEARCH("ProductID",INDEX(tblTrans[ProductID],134)))),"",INDEX(tblTrans[Location],134)),"")</f>
        <v/>
      </c>
      <c r="D135" t="str">
        <f>IFERROR(IF(OR(INDEX(tblTrans[ProductID],134)="",ISNUMBER(SEARCH("ProductID",INDEX(tblTrans[ProductID],134)))),"",INDEX(tblTrans[Quantity],134)),"")</f>
        <v/>
      </c>
      <c r="E135" t="str">
        <f>IFERROR(IF(OR(INDEX(tblTrans[ProductID],134)="",ISNUMBER(SEARCH("ProductID",INDEX(tblTrans[ProductID],134)))),"",INDEX(tblTrans[Type],134)),"")</f>
        <v/>
      </c>
      <c r="F135" t="str">
        <f>IFERROR(IF(OR(INDEX(tblTrans[ProductID],134)="",ISNUMBER(SEARCH("ProductID",INDEX(tblTrans[ProductID],134)))),"",_xlfn.XLOOKUP(B135,tblProducts[ProductID],tblProducts[ProductName],"")),"")</f>
        <v/>
      </c>
      <c r="G135" t="str">
        <f>IFERROR(IF(OR(INDEX(tblTrans[ProductID],134)="",ISNUMBER(SEARCH("ProductID",INDEX(tblTrans[ProductID],134)))),"",_xlfn.XLOOKUP(B135,tblProducts[ProductID],tblProducts[Category],"")),"")</f>
        <v/>
      </c>
      <c r="H135" t="str">
        <f>IFERROR(IF(OR(INDEX(tblTrans[ProductID],134)="",ISNUMBER(SEARCH("ProductID",INDEX(tblTrans[ProductID],134)))),"",_xlfn.XLOOKUP(B135,tblProducts[ProductID],tblProducts[Supplier],"")),"")</f>
        <v/>
      </c>
      <c r="I135" t="str">
        <f>IFERROR(IF(OR(INDEX(tblTrans[ProductID],134)="",ISNUMBER(SEARCH("ProductID",INDEX(tblTrans[ProductID],134)))),"",D135*_xlfn.XLOOKUP(B135,tblProducts[ProductID],tblProducts[UnitCost],0)),"")</f>
        <v/>
      </c>
    </row>
    <row r="136" spans="1:9" x14ac:dyDescent="0.3">
      <c r="A136" s="5" t="str">
        <f>IFERROR(IF(OR(INDEX(tblTrans[ProductID],135)="",ISNUMBER(SEARCH("ProductID",INDEX(tblTrans[ProductID],135)))),"",INDEX(tblTrans[Date],135)),"")</f>
        <v/>
      </c>
      <c r="B136" t="str">
        <f>IFERROR(IF(OR(INDEX(tblTrans[ProductID],135)="",ISNUMBER(SEARCH("ProductID",INDEX(tblTrans[ProductID],135)))),"",INDEX(tblTrans[ProductID],135)),"")</f>
        <v/>
      </c>
      <c r="C136" t="str">
        <f>IFERROR(IF(OR(INDEX(tblTrans[ProductID],135)="",ISNUMBER(SEARCH("ProductID",INDEX(tblTrans[ProductID],135)))),"",INDEX(tblTrans[Location],135)),"")</f>
        <v/>
      </c>
      <c r="D136" t="str">
        <f>IFERROR(IF(OR(INDEX(tblTrans[ProductID],135)="",ISNUMBER(SEARCH("ProductID",INDEX(tblTrans[ProductID],135)))),"",INDEX(tblTrans[Quantity],135)),"")</f>
        <v/>
      </c>
      <c r="E136" t="str">
        <f>IFERROR(IF(OR(INDEX(tblTrans[ProductID],135)="",ISNUMBER(SEARCH("ProductID",INDEX(tblTrans[ProductID],135)))),"",INDEX(tblTrans[Type],135)),"")</f>
        <v/>
      </c>
      <c r="F136" t="str">
        <f>IFERROR(IF(OR(INDEX(tblTrans[ProductID],135)="",ISNUMBER(SEARCH("ProductID",INDEX(tblTrans[ProductID],135)))),"",_xlfn.XLOOKUP(B136,tblProducts[ProductID],tblProducts[ProductName],"")),"")</f>
        <v/>
      </c>
      <c r="G136" t="str">
        <f>IFERROR(IF(OR(INDEX(tblTrans[ProductID],135)="",ISNUMBER(SEARCH("ProductID",INDEX(tblTrans[ProductID],135)))),"",_xlfn.XLOOKUP(B136,tblProducts[ProductID],tblProducts[Category],"")),"")</f>
        <v/>
      </c>
      <c r="H136" t="str">
        <f>IFERROR(IF(OR(INDEX(tblTrans[ProductID],135)="",ISNUMBER(SEARCH("ProductID",INDEX(tblTrans[ProductID],135)))),"",_xlfn.XLOOKUP(B136,tblProducts[ProductID],tblProducts[Supplier],"")),"")</f>
        <v/>
      </c>
      <c r="I136" t="str">
        <f>IFERROR(IF(OR(INDEX(tblTrans[ProductID],135)="",ISNUMBER(SEARCH("ProductID",INDEX(tblTrans[ProductID],135)))),"",D136*_xlfn.XLOOKUP(B136,tblProducts[ProductID],tblProducts[UnitCost],0)),"")</f>
        <v/>
      </c>
    </row>
    <row r="137" spans="1:9" x14ac:dyDescent="0.3">
      <c r="A137" s="5" t="str">
        <f>IFERROR(IF(OR(INDEX(tblTrans[ProductID],136)="",ISNUMBER(SEARCH("ProductID",INDEX(tblTrans[ProductID],136)))),"",INDEX(tblTrans[Date],136)),"")</f>
        <v/>
      </c>
      <c r="B137" t="str">
        <f>IFERROR(IF(OR(INDEX(tblTrans[ProductID],136)="",ISNUMBER(SEARCH("ProductID",INDEX(tblTrans[ProductID],136)))),"",INDEX(tblTrans[ProductID],136)),"")</f>
        <v/>
      </c>
      <c r="C137" t="str">
        <f>IFERROR(IF(OR(INDEX(tblTrans[ProductID],136)="",ISNUMBER(SEARCH("ProductID",INDEX(tblTrans[ProductID],136)))),"",INDEX(tblTrans[Location],136)),"")</f>
        <v/>
      </c>
      <c r="D137" t="str">
        <f>IFERROR(IF(OR(INDEX(tblTrans[ProductID],136)="",ISNUMBER(SEARCH("ProductID",INDEX(tblTrans[ProductID],136)))),"",INDEX(tblTrans[Quantity],136)),"")</f>
        <v/>
      </c>
      <c r="E137" t="str">
        <f>IFERROR(IF(OR(INDEX(tblTrans[ProductID],136)="",ISNUMBER(SEARCH("ProductID",INDEX(tblTrans[ProductID],136)))),"",INDEX(tblTrans[Type],136)),"")</f>
        <v/>
      </c>
      <c r="F137" t="str">
        <f>IFERROR(IF(OR(INDEX(tblTrans[ProductID],136)="",ISNUMBER(SEARCH("ProductID",INDEX(tblTrans[ProductID],136)))),"",_xlfn.XLOOKUP(B137,tblProducts[ProductID],tblProducts[ProductName],"")),"")</f>
        <v/>
      </c>
      <c r="G137" t="str">
        <f>IFERROR(IF(OR(INDEX(tblTrans[ProductID],136)="",ISNUMBER(SEARCH("ProductID",INDEX(tblTrans[ProductID],136)))),"",_xlfn.XLOOKUP(B137,tblProducts[ProductID],tblProducts[Category],"")),"")</f>
        <v/>
      </c>
      <c r="H137" t="str">
        <f>IFERROR(IF(OR(INDEX(tblTrans[ProductID],136)="",ISNUMBER(SEARCH("ProductID",INDEX(tblTrans[ProductID],136)))),"",_xlfn.XLOOKUP(B137,tblProducts[ProductID],tblProducts[Supplier],"")),"")</f>
        <v/>
      </c>
      <c r="I137" t="str">
        <f>IFERROR(IF(OR(INDEX(tblTrans[ProductID],136)="",ISNUMBER(SEARCH("ProductID",INDEX(tblTrans[ProductID],136)))),"",D137*_xlfn.XLOOKUP(B137,tblProducts[ProductID],tblProducts[UnitCost],0)),"")</f>
        <v/>
      </c>
    </row>
    <row r="138" spans="1:9" x14ac:dyDescent="0.3">
      <c r="A138" s="5" t="str">
        <f>IFERROR(IF(OR(INDEX(tblTrans[ProductID],137)="",ISNUMBER(SEARCH("ProductID",INDEX(tblTrans[ProductID],137)))),"",INDEX(tblTrans[Date],137)),"")</f>
        <v/>
      </c>
      <c r="B138" t="str">
        <f>IFERROR(IF(OR(INDEX(tblTrans[ProductID],137)="",ISNUMBER(SEARCH("ProductID",INDEX(tblTrans[ProductID],137)))),"",INDEX(tblTrans[ProductID],137)),"")</f>
        <v/>
      </c>
      <c r="C138" t="str">
        <f>IFERROR(IF(OR(INDEX(tblTrans[ProductID],137)="",ISNUMBER(SEARCH("ProductID",INDEX(tblTrans[ProductID],137)))),"",INDEX(tblTrans[Location],137)),"")</f>
        <v/>
      </c>
      <c r="D138" t="str">
        <f>IFERROR(IF(OR(INDEX(tblTrans[ProductID],137)="",ISNUMBER(SEARCH("ProductID",INDEX(tblTrans[ProductID],137)))),"",INDEX(tblTrans[Quantity],137)),"")</f>
        <v/>
      </c>
      <c r="E138" t="str">
        <f>IFERROR(IF(OR(INDEX(tblTrans[ProductID],137)="",ISNUMBER(SEARCH("ProductID",INDEX(tblTrans[ProductID],137)))),"",INDEX(tblTrans[Type],137)),"")</f>
        <v/>
      </c>
      <c r="F138" t="str">
        <f>IFERROR(IF(OR(INDEX(tblTrans[ProductID],137)="",ISNUMBER(SEARCH("ProductID",INDEX(tblTrans[ProductID],137)))),"",_xlfn.XLOOKUP(B138,tblProducts[ProductID],tblProducts[ProductName],"")),"")</f>
        <v/>
      </c>
      <c r="G138" t="str">
        <f>IFERROR(IF(OR(INDEX(tblTrans[ProductID],137)="",ISNUMBER(SEARCH("ProductID",INDEX(tblTrans[ProductID],137)))),"",_xlfn.XLOOKUP(B138,tblProducts[ProductID],tblProducts[Category],"")),"")</f>
        <v/>
      </c>
      <c r="H138" t="str">
        <f>IFERROR(IF(OR(INDEX(tblTrans[ProductID],137)="",ISNUMBER(SEARCH("ProductID",INDEX(tblTrans[ProductID],137)))),"",_xlfn.XLOOKUP(B138,tblProducts[ProductID],tblProducts[Supplier],"")),"")</f>
        <v/>
      </c>
      <c r="I138" t="str">
        <f>IFERROR(IF(OR(INDEX(tblTrans[ProductID],137)="",ISNUMBER(SEARCH("ProductID",INDEX(tblTrans[ProductID],137)))),"",D138*_xlfn.XLOOKUP(B138,tblProducts[ProductID],tblProducts[UnitCost],0)),"")</f>
        <v/>
      </c>
    </row>
    <row r="139" spans="1:9" x14ac:dyDescent="0.3">
      <c r="A139" s="5" t="str">
        <f>IFERROR(IF(OR(INDEX(tblTrans[ProductID],138)="",ISNUMBER(SEARCH("ProductID",INDEX(tblTrans[ProductID],138)))),"",INDEX(tblTrans[Date],138)),"")</f>
        <v/>
      </c>
      <c r="B139" t="str">
        <f>IFERROR(IF(OR(INDEX(tblTrans[ProductID],138)="",ISNUMBER(SEARCH("ProductID",INDEX(tblTrans[ProductID],138)))),"",INDEX(tblTrans[ProductID],138)),"")</f>
        <v/>
      </c>
      <c r="C139" t="str">
        <f>IFERROR(IF(OR(INDEX(tblTrans[ProductID],138)="",ISNUMBER(SEARCH("ProductID",INDEX(tblTrans[ProductID],138)))),"",INDEX(tblTrans[Location],138)),"")</f>
        <v/>
      </c>
      <c r="D139" t="str">
        <f>IFERROR(IF(OR(INDEX(tblTrans[ProductID],138)="",ISNUMBER(SEARCH("ProductID",INDEX(tblTrans[ProductID],138)))),"",INDEX(tblTrans[Quantity],138)),"")</f>
        <v/>
      </c>
      <c r="E139" t="str">
        <f>IFERROR(IF(OR(INDEX(tblTrans[ProductID],138)="",ISNUMBER(SEARCH("ProductID",INDEX(tblTrans[ProductID],138)))),"",INDEX(tblTrans[Type],138)),"")</f>
        <v/>
      </c>
      <c r="F139" t="str">
        <f>IFERROR(IF(OR(INDEX(tblTrans[ProductID],138)="",ISNUMBER(SEARCH("ProductID",INDEX(tblTrans[ProductID],138)))),"",_xlfn.XLOOKUP(B139,tblProducts[ProductID],tblProducts[ProductName],"")),"")</f>
        <v/>
      </c>
      <c r="G139" t="str">
        <f>IFERROR(IF(OR(INDEX(tblTrans[ProductID],138)="",ISNUMBER(SEARCH("ProductID",INDEX(tblTrans[ProductID],138)))),"",_xlfn.XLOOKUP(B139,tblProducts[ProductID],tblProducts[Category],"")),"")</f>
        <v/>
      </c>
      <c r="H139" t="str">
        <f>IFERROR(IF(OR(INDEX(tblTrans[ProductID],138)="",ISNUMBER(SEARCH("ProductID",INDEX(tblTrans[ProductID],138)))),"",_xlfn.XLOOKUP(B139,tblProducts[ProductID],tblProducts[Supplier],"")),"")</f>
        <v/>
      </c>
      <c r="I139" t="str">
        <f>IFERROR(IF(OR(INDEX(tblTrans[ProductID],138)="",ISNUMBER(SEARCH("ProductID",INDEX(tblTrans[ProductID],138)))),"",D139*_xlfn.XLOOKUP(B139,tblProducts[ProductID],tblProducts[UnitCost],0)),"")</f>
        <v/>
      </c>
    </row>
    <row r="140" spans="1:9" x14ac:dyDescent="0.3">
      <c r="A140" s="5" t="str">
        <f>IFERROR(IF(OR(INDEX(tblTrans[ProductID],139)="",ISNUMBER(SEARCH("ProductID",INDEX(tblTrans[ProductID],139)))),"",INDEX(tblTrans[Date],139)),"")</f>
        <v/>
      </c>
      <c r="B140" t="str">
        <f>IFERROR(IF(OR(INDEX(tblTrans[ProductID],139)="",ISNUMBER(SEARCH("ProductID",INDEX(tblTrans[ProductID],139)))),"",INDEX(tblTrans[ProductID],139)),"")</f>
        <v/>
      </c>
      <c r="C140" t="str">
        <f>IFERROR(IF(OR(INDEX(tblTrans[ProductID],139)="",ISNUMBER(SEARCH("ProductID",INDEX(tblTrans[ProductID],139)))),"",INDEX(tblTrans[Location],139)),"")</f>
        <v/>
      </c>
      <c r="D140" t="str">
        <f>IFERROR(IF(OR(INDEX(tblTrans[ProductID],139)="",ISNUMBER(SEARCH("ProductID",INDEX(tblTrans[ProductID],139)))),"",INDEX(tblTrans[Quantity],139)),"")</f>
        <v/>
      </c>
      <c r="E140" t="str">
        <f>IFERROR(IF(OR(INDEX(tblTrans[ProductID],139)="",ISNUMBER(SEARCH("ProductID",INDEX(tblTrans[ProductID],139)))),"",INDEX(tblTrans[Type],139)),"")</f>
        <v/>
      </c>
      <c r="F140" t="str">
        <f>IFERROR(IF(OR(INDEX(tblTrans[ProductID],139)="",ISNUMBER(SEARCH("ProductID",INDEX(tblTrans[ProductID],139)))),"",_xlfn.XLOOKUP(B140,tblProducts[ProductID],tblProducts[ProductName],"")),"")</f>
        <v/>
      </c>
      <c r="G140" t="str">
        <f>IFERROR(IF(OR(INDEX(tblTrans[ProductID],139)="",ISNUMBER(SEARCH("ProductID",INDEX(tblTrans[ProductID],139)))),"",_xlfn.XLOOKUP(B140,tblProducts[ProductID],tblProducts[Category],"")),"")</f>
        <v/>
      </c>
      <c r="H140" t="str">
        <f>IFERROR(IF(OR(INDEX(tblTrans[ProductID],139)="",ISNUMBER(SEARCH("ProductID",INDEX(tblTrans[ProductID],139)))),"",_xlfn.XLOOKUP(B140,tblProducts[ProductID],tblProducts[Supplier],"")),"")</f>
        <v/>
      </c>
      <c r="I140" t="str">
        <f>IFERROR(IF(OR(INDEX(tblTrans[ProductID],139)="",ISNUMBER(SEARCH("ProductID",INDEX(tblTrans[ProductID],139)))),"",D140*_xlfn.XLOOKUP(B140,tblProducts[ProductID],tblProducts[UnitCost],0)),"")</f>
        <v/>
      </c>
    </row>
    <row r="141" spans="1:9" x14ac:dyDescent="0.3">
      <c r="A141" s="5" t="str">
        <f>IFERROR(IF(OR(INDEX(tblTrans[ProductID],140)="",ISNUMBER(SEARCH("ProductID",INDEX(tblTrans[ProductID],140)))),"",INDEX(tblTrans[Date],140)),"")</f>
        <v/>
      </c>
      <c r="B141" t="str">
        <f>IFERROR(IF(OR(INDEX(tblTrans[ProductID],140)="",ISNUMBER(SEARCH("ProductID",INDEX(tblTrans[ProductID],140)))),"",INDEX(tblTrans[ProductID],140)),"")</f>
        <v/>
      </c>
      <c r="C141" t="str">
        <f>IFERROR(IF(OR(INDEX(tblTrans[ProductID],140)="",ISNUMBER(SEARCH("ProductID",INDEX(tblTrans[ProductID],140)))),"",INDEX(tblTrans[Location],140)),"")</f>
        <v/>
      </c>
      <c r="D141" t="str">
        <f>IFERROR(IF(OR(INDEX(tblTrans[ProductID],140)="",ISNUMBER(SEARCH("ProductID",INDEX(tblTrans[ProductID],140)))),"",INDEX(tblTrans[Quantity],140)),"")</f>
        <v/>
      </c>
      <c r="E141" t="str">
        <f>IFERROR(IF(OR(INDEX(tblTrans[ProductID],140)="",ISNUMBER(SEARCH("ProductID",INDEX(tblTrans[ProductID],140)))),"",INDEX(tblTrans[Type],140)),"")</f>
        <v/>
      </c>
      <c r="F141" t="str">
        <f>IFERROR(IF(OR(INDEX(tblTrans[ProductID],140)="",ISNUMBER(SEARCH("ProductID",INDEX(tblTrans[ProductID],140)))),"",_xlfn.XLOOKUP(B141,tblProducts[ProductID],tblProducts[ProductName],"")),"")</f>
        <v/>
      </c>
      <c r="G141" t="str">
        <f>IFERROR(IF(OR(INDEX(tblTrans[ProductID],140)="",ISNUMBER(SEARCH("ProductID",INDEX(tblTrans[ProductID],140)))),"",_xlfn.XLOOKUP(B141,tblProducts[ProductID],tblProducts[Category],"")),"")</f>
        <v/>
      </c>
      <c r="H141" t="str">
        <f>IFERROR(IF(OR(INDEX(tblTrans[ProductID],140)="",ISNUMBER(SEARCH("ProductID",INDEX(tblTrans[ProductID],140)))),"",_xlfn.XLOOKUP(B141,tblProducts[ProductID],tblProducts[Supplier],"")),"")</f>
        <v/>
      </c>
      <c r="I141" t="str">
        <f>IFERROR(IF(OR(INDEX(tblTrans[ProductID],140)="",ISNUMBER(SEARCH("ProductID",INDEX(tblTrans[ProductID],140)))),"",D141*_xlfn.XLOOKUP(B141,tblProducts[ProductID],tblProducts[UnitCost],0)),"")</f>
        <v/>
      </c>
    </row>
    <row r="142" spans="1:9" x14ac:dyDescent="0.3">
      <c r="A142" s="5" t="str">
        <f>IFERROR(IF(OR(INDEX(tblTrans[ProductID],141)="",ISNUMBER(SEARCH("ProductID",INDEX(tblTrans[ProductID],141)))),"",INDEX(tblTrans[Date],141)),"")</f>
        <v/>
      </c>
      <c r="B142" t="str">
        <f>IFERROR(IF(OR(INDEX(tblTrans[ProductID],141)="",ISNUMBER(SEARCH("ProductID",INDEX(tblTrans[ProductID],141)))),"",INDEX(tblTrans[ProductID],141)),"")</f>
        <v/>
      </c>
      <c r="C142" t="str">
        <f>IFERROR(IF(OR(INDEX(tblTrans[ProductID],141)="",ISNUMBER(SEARCH("ProductID",INDEX(tblTrans[ProductID],141)))),"",INDEX(tblTrans[Location],141)),"")</f>
        <v/>
      </c>
      <c r="D142" t="str">
        <f>IFERROR(IF(OR(INDEX(tblTrans[ProductID],141)="",ISNUMBER(SEARCH("ProductID",INDEX(tblTrans[ProductID],141)))),"",INDEX(tblTrans[Quantity],141)),"")</f>
        <v/>
      </c>
      <c r="E142" t="str">
        <f>IFERROR(IF(OR(INDEX(tblTrans[ProductID],141)="",ISNUMBER(SEARCH("ProductID",INDEX(tblTrans[ProductID],141)))),"",INDEX(tblTrans[Type],141)),"")</f>
        <v/>
      </c>
      <c r="F142" t="str">
        <f>IFERROR(IF(OR(INDEX(tblTrans[ProductID],141)="",ISNUMBER(SEARCH("ProductID",INDEX(tblTrans[ProductID],141)))),"",_xlfn.XLOOKUP(B142,tblProducts[ProductID],tblProducts[ProductName],"")),"")</f>
        <v/>
      </c>
      <c r="G142" t="str">
        <f>IFERROR(IF(OR(INDEX(tblTrans[ProductID],141)="",ISNUMBER(SEARCH("ProductID",INDEX(tblTrans[ProductID],141)))),"",_xlfn.XLOOKUP(B142,tblProducts[ProductID],tblProducts[Category],"")),"")</f>
        <v/>
      </c>
      <c r="H142" t="str">
        <f>IFERROR(IF(OR(INDEX(tblTrans[ProductID],141)="",ISNUMBER(SEARCH("ProductID",INDEX(tblTrans[ProductID],141)))),"",_xlfn.XLOOKUP(B142,tblProducts[ProductID],tblProducts[Supplier],"")),"")</f>
        <v/>
      </c>
      <c r="I142" t="str">
        <f>IFERROR(IF(OR(INDEX(tblTrans[ProductID],141)="",ISNUMBER(SEARCH("ProductID",INDEX(tblTrans[ProductID],141)))),"",D142*_xlfn.XLOOKUP(B142,tblProducts[ProductID],tblProducts[UnitCost],0)),"")</f>
        <v/>
      </c>
    </row>
    <row r="143" spans="1:9" x14ac:dyDescent="0.3">
      <c r="A143" s="5" t="str">
        <f>IFERROR(IF(OR(INDEX(tblTrans[ProductID],142)="",ISNUMBER(SEARCH("ProductID",INDEX(tblTrans[ProductID],142)))),"",INDEX(tblTrans[Date],142)),"")</f>
        <v/>
      </c>
      <c r="B143" t="str">
        <f>IFERROR(IF(OR(INDEX(tblTrans[ProductID],142)="",ISNUMBER(SEARCH("ProductID",INDEX(tblTrans[ProductID],142)))),"",INDEX(tblTrans[ProductID],142)),"")</f>
        <v/>
      </c>
      <c r="C143" t="str">
        <f>IFERROR(IF(OR(INDEX(tblTrans[ProductID],142)="",ISNUMBER(SEARCH("ProductID",INDEX(tblTrans[ProductID],142)))),"",INDEX(tblTrans[Location],142)),"")</f>
        <v/>
      </c>
      <c r="D143" t="str">
        <f>IFERROR(IF(OR(INDEX(tblTrans[ProductID],142)="",ISNUMBER(SEARCH("ProductID",INDEX(tblTrans[ProductID],142)))),"",INDEX(tblTrans[Quantity],142)),"")</f>
        <v/>
      </c>
      <c r="E143" t="str">
        <f>IFERROR(IF(OR(INDEX(tblTrans[ProductID],142)="",ISNUMBER(SEARCH("ProductID",INDEX(tblTrans[ProductID],142)))),"",INDEX(tblTrans[Type],142)),"")</f>
        <v/>
      </c>
      <c r="F143" t="str">
        <f>IFERROR(IF(OR(INDEX(tblTrans[ProductID],142)="",ISNUMBER(SEARCH("ProductID",INDEX(tblTrans[ProductID],142)))),"",_xlfn.XLOOKUP(B143,tblProducts[ProductID],tblProducts[ProductName],"")),"")</f>
        <v/>
      </c>
      <c r="G143" t="str">
        <f>IFERROR(IF(OR(INDEX(tblTrans[ProductID],142)="",ISNUMBER(SEARCH("ProductID",INDEX(tblTrans[ProductID],142)))),"",_xlfn.XLOOKUP(B143,tblProducts[ProductID],tblProducts[Category],"")),"")</f>
        <v/>
      </c>
      <c r="H143" t="str">
        <f>IFERROR(IF(OR(INDEX(tblTrans[ProductID],142)="",ISNUMBER(SEARCH("ProductID",INDEX(tblTrans[ProductID],142)))),"",_xlfn.XLOOKUP(B143,tblProducts[ProductID],tblProducts[Supplier],"")),"")</f>
        <v/>
      </c>
      <c r="I143" t="str">
        <f>IFERROR(IF(OR(INDEX(tblTrans[ProductID],142)="",ISNUMBER(SEARCH("ProductID",INDEX(tblTrans[ProductID],142)))),"",D143*_xlfn.XLOOKUP(B143,tblProducts[ProductID],tblProducts[UnitCost],0)),"")</f>
        <v/>
      </c>
    </row>
    <row r="144" spans="1:9" x14ac:dyDescent="0.3">
      <c r="A144" s="5" t="str">
        <f>IFERROR(IF(OR(INDEX(tblTrans[ProductID],143)="",ISNUMBER(SEARCH("ProductID",INDEX(tblTrans[ProductID],143)))),"",INDEX(tblTrans[Date],143)),"")</f>
        <v/>
      </c>
      <c r="B144" t="str">
        <f>IFERROR(IF(OR(INDEX(tblTrans[ProductID],143)="",ISNUMBER(SEARCH("ProductID",INDEX(tblTrans[ProductID],143)))),"",INDEX(tblTrans[ProductID],143)),"")</f>
        <v/>
      </c>
      <c r="C144" t="str">
        <f>IFERROR(IF(OR(INDEX(tblTrans[ProductID],143)="",ISNUMBER(SEARCH("ProductID",INDEX(tblTrans[ProductID],143)))),"",INDEX(tblTrans[Location],143)),"")</f>
        <v/>
      </c>
      <c r="D144" t="str">
        <f>IFERROR(IF(OR(INDEX(tblTrans[ProductID],143)="",ISNUMBER(SEARCH("ProductID",INDEX(tblTrans[ProductID],143)))),"",INDEX(tblTrans[Quantity],143)),"")</f>
        <v/>
      </c>
      <c r="E144" t="str">
        <f>IFERROR(IF(OR(INDEX(tblTrans[ProductID],143)="",ISNUMBER(SEARCH("ProductID",INDEX(tblTrans[ProductID],143)))),"",INDEX(tblTrans[Type],143)),"")</f>
        <v/>
      </c>
      <c r="F144" t="str">
        <f>IFERROR(IF(OR(INDEX(tblTrans[ProductID],143)="",ISNUMBER(SEARCH("ProductID",INDEX(tblTrans[ProductID],143)))),"",_xlfn.XLOOKUP(B144,tblProducts[ProductID],tblProducts[ProductName],"")),"")</f>
        <v/>
      </c>
      <c r="G144" t="str">
        <f>IFERROR(IF(OR(INDEX(tblTrans[ProductID],143)="",ISNUMBER(SEARCH("ProductID",INDEX(tblTrans[ProductID],143)))),"",_xlfn.XLOOKUP(B144,tblProducts[ProductID],tblProducts[Category],"")),"")</f>
        <v/>
      </c>
      <c r="H144" t="str">
        <f>IFERROR(IF(OR(INDEX(tblTrans[ProductID],143)="",ISNUMBER(SEARCH("ProductID",INDEX(tblTrans[ProductID],143)))),"",_xlfn.XLOOKUP(B144,tblProducts[ProductID],tblProducts[Supplier],"")),"")</f>
        <v/>
      </c>
      <c r="I144" t="str">
        <f>IFERROR(IF(OR(INDEX(tblTrans[ProductID],143)="",ISNUMBER(SEARCH("ProductID",INDEX(tblTrans[ProductID],143)))),"",D144*_xlfn.XLOOKUP(B144,tblProducts[ProductID],tblProducts[UnitCost],0)),"")</f>
        <v/>
      </c>
    </row>
    <row r="145" spans="1:9" x14ac:dyDescent="0.3">
      <c r="A145" s="5" t="str">
        <f>IFERROR(IF(OR(INDEX(tblTrans[ProductID],144)="",ISNUMBER(SEARCH("ProductID",INDEX(tblTrans[ProductID],144)))),"",INDEX(tblTrans[Date],144)),"")</f>
        <v/>
      </c>
      <c r="B145" t="str">
        <f>IFERROR(IF(OR(INDEX(tblTrans[ProductID],144)="",ISNUMBER(SEARCH("ProductID",INDEX(tblTrans[ProductID],144)))),"",INDEX(tblTrans[ProductID],144)),"")</f>
        <v/>
      </c>
      <c r="C145" t="str">
        <f>IFERROR(IF(OR(INDEX(tblTrans[ProductID],144)="",ISNUMBER(SEARCH("ProductID",INDEX(tblTrans[ProductID],144)))),"",INDEX(tblTrans[Location],144)),"")</f>
        <v/>
      </c>
      <c r="D145" t="str">
        <f>IFERROR(IF(OR(INDEX(tblTrans[ProductID],144)="",ISNUMBER(SEARCH("ProductID",INDEX(tblTrans[ProductID],144)))),"",INDEX(tblTrans[Quantity],144)),"")</f>
        <v/>
      </c>
      <c r="E145" t="str">
        <f>IFERROR(IF(OR(INDEX(tblTrans[ProductID],144)="",ISNUMBER(SEARCH("ProductID",INDEX(tblTrans[ProductID],144)))),"",INDEX(tblTrans[Type],144)),"")</f>
        <v/>
      </c>
      <c r="F145" t="str">
        <f>IFERROR(IF(OR(INDEX(tblTrans[ProductID],144)="",ISNUMBER(SEARCH("ProductID",INDEX(tblTrans[ProductID],144)))),"",_xlfn.XLOOKUP(B145,tblProducts[ProductID],tblProducts[ProductName],"")),"")</f>
        <v/>
      </c>
      <c r="G145" t="str">
        <f>IFERROR(IF(OR(INDEX(tblTrans[ProductID],144)="",ISNUMBER(SEARCH("ProductID",INDEX(tblTrans[ProductID],144)))),"",_xlfn.XLOOKUP(B145,tblProducts[ProductID],tblProducts[Category],"")),"")</f>
        <v/>
      </c>
      <c r="H145" t="str">
        <f>IFERROR(IF(OR(INDEX(tblTrans[ProductID],144)="",ISNUMBER(SEARCH("ProductID",INDEX(tblTrans[ProductID],144)))),"",_xlfn.XLOOKUP(B145,tblProducts[ProductID],tblProducts[Supplier],"")),"")</f>
        <v/>
      </c>
      <c r="I145" t="str">
        <f>IFERROR(IF(OR(INDEX(tblTrans[ProductID],144)="",ISNUMBER(SEARCH("ProductID",INDEX(tblTrans[ProductID],144)))),"",D145*_xlfn.XLOOKUP(B145,tblProducts[ProductID],tblProducts[UnitCost],0)),"")</f>
        <v/>
      </c>
    </row>
    <row r="146" spans="1:9" x14ac:dyDescent="0.3">
      <c r="A146" s="5" t="str">
        <f>IFERROR(IF(OR(INDEX(tblTrans[ProductID],145)="",ISNUMBER(SEARCH("ProductID",INDEX(tblTrans[ProductID],145)))),"",INDEX(tblTrans[Date],145)),"")</f>
        <v/>
      </c>
      <c r="B146" t="str">
        <f>IFERROR(IF(OR(INDEX(tblTrans[ProductID],145)="",ISNUMBER(SEARCH("ProductID",INDEX(tblTrans[ProductID],145)))),"",INDEX(tblTrans[ProductID],145)),"")</f>
        <v/>
      </c>
      <c r="C146" t="str">
        <f>IFERROR(IF(OR(INDEX(tblTrans[ProductID],145)="",ISNUMBER(SEARCH("ProductID",INDEX(tblTrans[ProductID],145)))),"",INDEX(tblTrans[Location],145)),"")</f>
        <v/>
      </c>
      <c r="D146" t="str">
        <f>IFERROR(IF(OR(INDEX(tblTrans[ProductID],145)="",ISNUMBER(SEARCH("ProductID",INDEX(tblTrans[ProductID],145)))),"",INDEX(tblTrans[Quantity],145)),"")</f>
        <v/>
      </c>
      <c r="E146" t="str">
        <f>IFERROR(IF(OR(INDEX(tblTrans[ProductID],145)="",ISNUMBER(SEARCH("ProductID",INDEX(tblTrans[ProductID],145)))),"",INDEX(tblTrans[Type],145)),"")</f>
        <v/>
      </c>
      <c r="F146" t="str">
        <f>IFERROR(IF(OR(INDEX(tblTrans[ProductID],145)="",ISNUMBER(SEARCH("ProductID",INDEX(tblTrans[ProductID],145)))),"",_xlfn.XLOOKUP(B146,tblProducts[ProductID],tblProducts[ProductName],"")),"")</f>
        <v/>
      </c>
      <c r="G146" t="str">
        <f>IFERROR(IF(OR(INDEX(tblTrans[ProductID],145)="",ISNUMBER(SEARCH("ProductID",INDEX(tblTrans[ProductID],145)))),"",_xlfn.XLOOKUP(B146,tblProducts[ProductID],tblProducts[Category],"")),"")</f>
        <v/>
      </c>
      <c r="H146" t="str">
        <f>IFERROR(IF(OR(INDEX(tblTrans[ProductID],145)="",ISNUMBER(SEARCH("ProductID",INDEX(tblTrans[ProductID],145)))),"",_xlfn.XLOOKUP(B146,tblProducts[ProductID],tblProducts[Supplier],"")),"")</f>
        <v/>
      </c>
      <c r="I146" t="str">
        <f>IFERROR(IF(OR(INDEX(tblTrans[ProductID],145)="",ISNUMBER(SEARCH("ProductID",INDEX(tblTrans[ProductID],145)))),"",D146*_xlfn.XLOOKUP(B146,tblProducts[ProductID],tblProducts[UnitCost],0)),"")</f>
        <v/>
      </c>
    </row>
    <row r="147" spans="1:9" x14ac:dyDescent="0.3">
      <c r="A147" s="5" t="str">
        <f>IFERROR(IF(OR(INDEX(tblTrans[ProductID],146)="",ISNUMBER(SEARCH("ProductID",INDEX(tblTrans[ProductID],146)))),"",INDEX(tblTrans[Date],146)),"")</f>
        <v/>
      </c>
      <c r="B147" t="str">
        <f>IFERROR(IF(OR(INDEX(tblTrans[ProductID],146)="",ISNUMBER(SEARCH("ProductID",INDEX(tblTrans[ProductID],146)))),"",INDEX(tblTrans[ProductID],146)),"")</f>
        <v/>
      </c>
      <c r="C147" t="str">
        <f>IFERROR(IF(OR(INDEX(tblTrans[ProductID],146)="",ISNUMBER(SEARCH("ProductID",INDEX(tblTrans[ProductID],146)))),"",INDEX(tblTrans[Location],146)),"")</f>
        <v/>
      </c>
      <c r="D147" t="str">
        <f>IFERROR(IF(OR(INDEX(tblTrans[ProductID],146)="",ISNUMBER(SEARCH("ProductID",INDEX(tblTrans[ProductID],146)))),"",INDEX(tblTrans[Quantity],146)),"")</f>
        <v/>
      </c>
      <c r="E147" t="str">
        <f>IFERROR(IF(OR(INDEX(tblTrans[ProductID],146)="",ISNUMBER(SEARCH("ProductID",INDEX(tblTrans[ProductID],146)))),"",INDEX(tblTrans[Type],146)),"")</f>
        <v/>
      </c>
      <c r="F147" t="str">
        <f>IFERROR(IF(OR(INDEX(tblTrans[ProductID],146)="",ISNUMBER(SEARCH("ProductID",INDEX(tblTrans[ProductID],146)))),"",_xlfn.XLOOKUP(B147,tblProducts[ProductID],tblProducts[ProductName],"")),"")</f>
        <v/>
      </c>
      <c r="G147" t="str">
        <f>IFERROR(IF(OR(INDEX(tblTrans[ProductID],146)="",ISNUMBER(SEARCH("ProductID",INDEX(tblTrans[ProductID],146)))),"",_xlfn.XLOOKUP(B147,tblProducts[ProductID],tblProducts[Category],"")),"")</f>
        <v/>
      </c>
      <c r="H147" t="str">
        <f>IFERROR(IF(OR(INDEX(tblTrans[ProductID],146)="",ISNUMBER(SEARCH("ProductID",INDEX(tblTrans[ProductID],146)))),"",_xlfn.XLOOKUP(B147,tblProducts[ProductID],tblProducts[Supplier],"")),"")</f>
        <v/>
      </c>
      <c r="I147" t="str">
        <f>IFERROR(IF(OR(INDEX(tblTrans[ProductID],146)="",ISNUMBER(SEARCH("ProductID",INDEX(tblTrans[ProductID],146)))),"",D147*_xlfn.XLOOKUP(B147,tblProducts[ProductID],tblProducts[UnitCost],0)),"")</f>
        <v/>
      </c>
    </row>
    <row r="148" spans="1:9" x14ac:dyDescent="0.3">
      <c r="A148" s="5" t="str">
        <f>IFERROR(IF(OR(INDEX(tblTrans[ProductID],147)="",ISNUMBER(SEARCH("ProductID",INDEX(tblTrans[ProductID],147)))),"",INDEX(tblTrans[Date],147)),"")</f>
        <v/>
      </c>
      <c r="B148" t="str">
        <f>IFERROR(IF(OR(INDEX(tblTrans[ProductID],147)="",ISNUMBER(SEARCH("ProductID",INDEX(tblTrans[ProductID],147)))),"",INDEX(tblTrans[ProductID],147)),"")</f>
        <v/>
      </c>
      <c r="C148" t="str">
        <f>IFERROR(IF(OR(INDEX(tblTrans[ProductID],147)="",ISNUMBER(SEARCH("ProductID",INDEX(tblTrans[ProductID],147)))),"",INDEX(tblTrans[Location],147)),"")</f>
        <v/>
      </c>
      <c r="D148" t="str">
        <f>IFERROR(IF(OR(INDEX(tblTrans[ProductID],147)="",ISNUMBER(SEARCH("ProductID",INDEX(tblTrans[ProductID],147)))),"",INDEX(tblTrans[Quantity],147)),"")</f>
        <v/>
      </c>
      <c r="E148" t="str">
        <f>IFERROR(IF(OR(INDEX(tblTrans[ProductID],147)="",ISNUMBER(SEARCH("ProductID",INDEX(tblTrans[ProductID],147)))),"",INDEX(tblTrans[Type],147)),"")</f>
        <v/>
      </c>
      <c r="F148" t="str">
        <f>IFERROR(IF(OR(INDEX(tblTrans[ProductID],147)="",ISNUMBER(SEARCH("ProductID",INDEX(tblTrans[ProductID],147)))),"",_xlfn.XLOOKUP(B148,tblProducts[ProductID],tblProducts[ProductName],"")),"")</f>
        <v/>
      </c>
      <c r="G148" t="str">
        <f>IFERROR(IF(OR(INDEX(tblTrans[ProductID],147)="",ISNUMBER(SEARCH("ProductID",INDEX(tblTrans[ProductID],147)))),"",_xlfn.XLOOKUP(B148,tblProducts[ProductID],tblProducts[Category],"")),"")</f>
        <v/>
      </c>
      <c r="H148" t="str">
        <f>IFERROR(IF(OR(INDEX(tblTrans[ProductID],147)="",ISNUMBER(SEARCH("ProductID",INDEX(tblTrans[ProductID],147)))),"",_xlfn.XLOOKUP(B148,tblProducts[ProductID],tblProducts[Supplier],"")),"")</f>
        <v/>
      </c>
      <c r="I148" t="str">
        <f>IFERROR(IF(OR(INDEX(tblTrans[ProductID],147)="",ISNUMBER(SEARCH("ProductID",INDEX(tblTrans[ProductID],147)))),"",D148*_xlfn.XLOOKUP(B148,tblProducts[ProductID],tblProducts[UnitCost],0)),"")</f>
        <v/>
      </c>
    </row>
    <row r="149" spans="1:9" x14ac:dyDescent="0.3">
      <c r="A149" s="5" t="str">
        <f>IFERROR(IF(OR(INDEX(tblTrans[ProductID],148)="",ISNUMBER(SEARCH("ProductID",INDEX(tblTrans[ProductID],148)))),"",INDEX(tblTrans[Date],148)),"")</f>
        <v/>
      </c>
      <c r="B149" t="str">
        <f>IFERROR(IF(OR(INDEX(tblTrans[ProductID],148)="",ISNUMBER(SEARCH("ProductID",INDEX(tblTrans[ProductID],148)))),"",INDEX(tblTrans[ProductID],148)),"")</f>
        <v/>
      </c>
      <c r="C149" t="str">
        <f>IFERROR(IF(OR(INDEX(tblTrans[ProductID],148)="",ISNUMBER(SEARCH("ProductID",INDEX(tblTrans[ProductID],148)))),"",INDEX(tblTrans[Location],148)),"")</f>
        <v/>
      </c>
      <c r="D149" t="str">
        <f>IFERROR(IF(OR(INDEX(tblTrans[ProductID],148)="",ISNUMBER(SEARCH("ProductID",INDEX(tblTrans[ProductID],148)))),"",INDEX(tblTrans[Quantity],148)),"")</f>
        <v/>
      </c>
      <c r="E149" t="str">
        <f>IFERROR(IF(OR(INDEX(tblTrans[ProductID],148)="",ISNUMBER(SEARCH("ProductID",INDEX(tblTrans[ProductID],148)))),"",INDEX(tblTrans[Type],148)),"")</f>
        <v/>
      </c>
      <c r="F149" t="str">
        <f>IFERROR(IF(OR(INDEX(tblTrans[ProductID],148)="",ISNUMBER(SEARCH("ProductID",INDEX(tblTrans[ProductID],148)))),"",_xlfn.XLOOKUP(B149,tblProducts[ProductID],tblProducts[ProductName],"")),"")</f>
        <v/>
      </c>
      <c r="G149" t="str">
        <f>IFERROR(IF(OR(INDEX(tblTrans[ProductID],148)="",ISNUMBER(SEARCH("ProductID",INDEX(tblTrans[ProductID],148)))),"",_xlfn.XLOOKUP(B149,tblProducts[ProductID],tblProducts[Category],"")),"")</f>
        <v/>
      </c>
      <c r="H149" t="str">
        <f>IFERROR(IF(OR(INDEX(tblTrans[ProductID],148)="",ISNUMBER(SEARCH("ProductID",INDEX(tblTrans[ProductID],148)))),"",_xlfn.XLOOKUP(B149,tblProducts[ProductID],tblProducts[Supplier],"")),"")</f>
        <v/>
      </c>
      <c r="I149" t="str">
        <f>IFERROR(IF(OR(INDEX(tblTrans[ProductID],148)="",ISNUMBER(SEARCH("ProductID",INDEX(tblTrans[ProductID],148)))),"",D149*_xlfn.XLOOKUP(B149,tblProducts[ProductID],tblProducts[UnitCost],0)),"")</f>
        <v/>
      </c>
    </row>
    <row r="150" spans="1:9" x14ac:dyDescent="0.3">
      <c r="A150" s="5" t="str">
        <f>IFERROR(IF(OR(INDEX(tblTrans[ProductID],149)="",ISNUMBER(SEARCH("ProductID",INDEX(tblTrans[ProductID],149)))),"",INDEX(tblTrans[Date],149)),"")</f>
        <v/>
      </c>
      <c r="B150" t="str">
        <f>IFERROR(IF(OR(INDEX(tblTrans[ProductID],149)="",ISNUMBER(SEARCH("ProductID",INDEX(tblTrans[ProductID],149)))),"",INDEX(tblTrans[ProductID],149)),"")</f>
        <v/>
      </c>
      <c r="C150" t="str">
        <f>IFERROR(IF(OR(INDEX(tblTrans[ProductID],149)="",ISNUMBER(SEARCH("ProductID",INDEX(tblTrans[ProductID],149)))),"",INDEX(tblTrans[Location],149)),"")</f>
        <v/>
      </c>
      <c r="D150" t="str">
        <f>IFERROR(IF(OR(INDEX(tblTrans[ProductID],149)="",ISNUMBER(SEARCH("ProductID",INDEX(tblTrans[ProductID],149)))),"",INDEX(tblTrans[Quantity],149)),"")</f>
        <v/>
      </c>
      <c r="E150" t="str">
        <f>IFERROR(IF(OR(INDEX(tblTrans[ProductID],149)="",ISNUMBER(SEARCH("ProductID",INDEX(tblTrans[ProductID],149)))),"",INDEX(tblTrans[Type],149)),"")</f>
        <v/>
      </c>
      <c r="F150" t="str">
        <f>IFERROR(IF(OR(INDEX(tblTrans[ProductID],149)="",ISNUMBER(SEARCH("ProductID",INDEX(tblTrans[ProductID],149)))),"",_xlfn.XLOOKUP(B150,tblProducts[ProductID],tblProducts[ProductName],"")),"")</f>
        <v/>
      </c>
      <c r="G150" t="str">
        <f>IFERROR(IF(OR(INDEX(tblTrans[ProductID],149)="",ISNUMBER(SEARCH("ProductID",INDEX(tblTrans[ProductID],149)))),"",_xlfn.XLOOKUP(B150,tblProducts[ProductID],tblProducts[Category],"")),"")</f>
        <v/>
      </c>
      <c r="H150" t="str">
        <f>IFERROR(IF(OR(INDEX(tblTrans[ProductID],149)="",ISNUMBER(SEARCH("ProductID",INDEX(tblTrans[ProductID],149)))),"",_xlfn.XLOOKUP(B150,tblProducts[ProductID],tblProducts[Supplier],"")),"")</f>
        <v/>
      </c>
      <c r="I150" t="str">
        <f>IFERROR(IF(OR(INDEX(tblTrans[ProductID],149)="",ISNUMBER(SEARCH("ProductID",INDEX(tblTrans[ProductID],149)))),"",D150*_xlfn.XLOOKUP(B150,tblProducts[ProductID],tblProducts[UnitCost],0)),"")</f>
        <v/>
      </c>
    </row>
    <row r="151" spans="1:9" x14ac:dyDescent="0.3">
      <c r="A151" s="5" t="str">
        <f>IFERROR(IF(OR(INDEX(tblTrans[ProductID],150)="",ISNUMBER(SEARCH("ProductID",INDEX(tblTrans[ProductID],150)))),"",INDEX(tblTrans[Date],150)),"")</f>
        <v/>
      </c>
      <c r="B151" t="str">
        <f>IFERROR(IF(OR(INDEX(tblTrans[ProductID],150)="",ISNUMBER(SEARCH("ProductID",INDEX(tblTrans[ProductID],150)))),"",INDEX(tblTrans[ProductID],150)),"")</f>
        <v/>
      </c>
      <c r="C151" t="str">
        <f>IFERROR(IF(OR(INDEX(tblTrans[ProductID],150)="",ISNUMBER(SEARCH("ProductID",INDEX(tblTrans[ProductID],150)))),"",INDEX(tblTrans[Location],150)),"")</f>
        <v/>
      </c>
      <c r="D151" t="str">
        <f>IFERROR(IF(OR(INDEX(tblTrans[ProductID],150)="",ISNUMBER(SEARCH("ProductID",INDEX(tblTrans[ProductID],150)))),"",INDEX(tblTrans[Quantity],150)),"")</f>
        <v/>
      </c>
      <c r="E151" t="str">
        <f>IFERROR(IF(OR(INDEX(tblTrans[ProductID],150)="",ISNUMBER(SEARCH("ProductID",INDEX(tblTrans[ProductID],150)))),"",INDEX(tblTrans[Type],150)),"")</f>
        <v/>
      </c>
      <c r="F151" t="str">
        <f>IFERROR(IF(OR(INDEX(tblTrans[ProductID],150)="",ISNUMBER(SEARCH("ProductID",INDEX(tblTrans[ProductID],150)))),"",_xlfn.XLOOKUP(B151,tblProducts[ProductID],tblProducts[ProductName],"")),"")</f>
        <v/>
      </c>
      <c r="G151" t="str">
        <f>IFERROR(IF(OR(INDEX(tblTrans[ProductID],150)="",ISNUMBER(SEARCH("ProductID",INDEX(tblTrans[ProductID],150)))),"",_xlfn.XLOOKUP(B151,tblProducts[ProductID],tblProducts[Category],"")),"")</f>
        <v/>
      </c>
      <c r="H151" t="str">
        <f>IFERROR(IF(OR(INDEX(tblTrans[ProductID],150)="",ISNUMBER(SEARCH("ProductID",INDEX(tblTrans[ProductID],150)))),"",_xlfn.XLOOKUP(B151,tblProducts[ProductID],tblProducts[Supplier],"")),"")</f>
        <v/>
      </c>
      <c r="I151" t="str">
        <f>IFERROR(IF(OR(INDEX(tblTrans[ProductID],150)="",ISNUMBER(SEARCH("ProductID",INDEX(tblTrans[ProductID],150)))),"",D151*_xlfn.XLOOKUP(B151,tblProducts[ProductID],tblProducts[UnitCost],0)),"")</f>
        <v/>
      </c>
    </row>
    <row r="152" spans="1:9" x14ac:dyDescent="0.3">
      <c r="A152" s="5" t="str">
        <f>IFERROR(IF(OR(INDEX(tblTrans[ProductID],151)="",ISNUMBER(SEARCH("ProductID",INDEX(tblTrans[ProductID],151)))),"",INDEX(tblTrans[Date],151)),"")</f>
        <v/>
      </c>
      <c r="B152" t="str">
        <f>IFERROR(IF(OR(INDEX(tblTrans[ProductID],151)="",ISNUMBER(SEARCH("ProductID",INDEX(tblTrans[ProductID],151)))),"",INDEX(tblTrans[ProductID],151)),"")</f>
        <v/>
      </c>
      <c r="C152" t="str">
        <f>IFERROR(IF(OR(INDEX(tblTrans[ProductID],151)="",ISNUMBER(SEARCH("ProductID",INDEX(tblTrans[ProductID],151)))),"",INDEX(tblTrans[Location],151)),"")</f>
        <v/>
      </c>
      <c r="D152" t="str">
        <f>IFERROR(IF(OR(INDEX(tblTrans[ProductID],151)="",ISNUMBER(SEARCH("ProductID",INDEX(tblTrans[ProductID],151)))),"",INDEX(tblTrans[Quantity],151)),"")</f>
        <v/>
      </c>
      <c r="E152" t="str">
        <f>IFERROR(IF(OR(INDEX(tblTrans[ProductID],151)="",ISNUMBER(SEARCH("ProductID",INDEX(tblTrans[ProductID],151)))),"",INDEX(tblTrans[Type],151)),"")</f>
        <v/>
      </c>
      <c r="F152" t="str">
        <f>IFERROR(IF(OR(INDEX(tblTrans[ProductID],151)="",ISNUMBER(SEARCH("ProductID",INDEX(tblTrans[ProductID],151)))),"",_xlfn.XLOOKUP(B152,tblProducts[ProductID],tblProducts[ProductName],"")),"")</f>
        <v/>
      </c>
      <c r="G152" t="str">
        <f>IFERROR(IF(OR(INDEX(tblTrans[ProductID],151)="",ISNUMBER(SEARCH("ProductID",INDEX(tblTrans[ProductID],151)))),"",_xlfn.XLOOKUP(B152,tblProducts[ProductID],tblProducts[Category],"")),"")</f>
        <v/>
      </c>
      <c r="H152" t="str">
        <f>IFERROR(IF(OR(INDEX(tblTrans[ProductID],151)="",ISNUMBER(SEARCH("ProductID",INDEX(tblTrans[ProductID],151)))),"",_xlfn.XLOOKUP(B152,tblProducts[ProductID],tblProducts[Supplier],"")),"")</f>
        <v/>
      </c>
      <c r="I152" t="str">
        <f>IFERROR(IF(OR(INDEX(tblTrans[ProductID],151)="",ISNUMBER(SEARCH("ProductID",INDEX(tblTrans[ProductID],151)))),"",D152*_xlfn.XLOOKUP(B152,tblProducts[ProductID],tblProducts[UnitCost],0)),"")</f>
        <v/>
      </c>
    </row>
    <row r="153" spans="1:9" x14ac:dyDescent="0.3">
      <c r="A153" s="5" t="str">
        <f>IFERROR(IF(OR(INDEX(tblTrans[ProductID],152)="",ISNUMBER(SEARCH("ProductID",INDEX(tblTrans[ProductID],152)))),"",INDEX(tblTrans[Date],152)),"")</f>
        <v/>
      </c>
      <c r="B153" t="str">
        <f>IFERROR(IF(OR(INDEX(tblTrans[ProductID],152)="",ISNUMBER(SEARCH("ProductID",INDEX(tblTrans[ProductID],152)))),"",INDEX(tblTrans[ProductID],152)),"")</f>
        <v/>
      </c>
      <c r="C153" t="str">
        <f>IFERROR(IF(OR(INDEX(tblTrans[ProductID],152)="",ISNUMBER(SEARCH("ProductID",INDEX(tblTrans[ProductID],152)))),"",INDEX(tblTrans[Location],152)),"")</f>
        <v/>
      </c>
      <c r="D153" t="str">
        <f>IFERROR(IF(OR(INDEX(tblTrans[ProductID],152)="",ISNUMBER(SEARCH("ProductID",INDEX(tblTrans[ProductID],152)))),"",INDEX(tblTrans[Quantity],152)),"")</f>
        <v/>
      </c>
      <c r="E153" t="str">
        <f>IFERROR(IF(OR(INDEX(tblTrans[ProductID],152)="",ISNUMBER(SEARCH("ProductID",INDEX(tblTrans[ProductID],152)))),"",INDEX(tblTrans[Type],152)),"")</f>
        <v/>
      </c>
      <c r="F153" t="str">
        <f>IFERROR(IF(OR(INDEX(tblTrans[ProductID],152)="",ISNUMBER(SEARCH("ProductID",INDEX(tblTrans[ProductID],152)))),"",_xlfn.XLOOKUP(B153,tblProducts[ProductID],tblProducts[ProductName],"")),"")</f>
        <v/>
      </c>
      <c r="G153" t="str">
        <f>IFERROR(IF(OR(INDEX(tblTrans[ProductID],152)="",ISNUMBER(SEARCH("ProductID",INDEX(tblTrans[ProductID],152)))),"",_xlfn.XLOOKUP(B153,tblProducts[ProductID],tblProducts[Category],"")),"")</f>
        <v/>
      </c>
      <c r="H153" t="str">
        <f>IFERROR(IF(OR(INDEX(tblTrans[ProductID],152)="",ISNUMBER(SEARCH("ProductID",INDEX(tblTrans[ProductID],152)))),"",_xlfn.XLOOKUP(B153,tblProducts[ProductID],tblProducts[Supplier],"")),"")</f>
        <v/>
      </c>
      <c r="I153" t="str">
        <f>IFERROR(IF(OR(INDEX(tblTrans[ProductID],152)="",ISNUMBER(SEARCH("ProductID",INDEX(tblTrans[ProductID],152)))),"",D153*_xlfn.XLOOKUP(B153,tblProducts[ProductID],tblProducts[UnitCost],0)),"")</f>
        <v/>
      </c>
    </row>
    <row r="154" spans="1:9" x14ac:dyDescent="0.3">
      <c r="A154" s="5" t="str">
        <f>IFERROR(IF(OR(INDEX(tblTrans[ProductID],153)="",ISNUMBER(SEARCH("ProductID",INDEX(tblTrans[ProductID],153)))),"",INDEX(tblTrans[Date],153)),"")</f>
        <v/>
      </c>
      <c r="B154" t="str">
        <f>IFERROR(IF(OR(INDEX(tblTrans[ProductID],153)="",ISNUMBER(SEARCH("ProductID",INDEX(tblTrans[ProductID],153)))),"",INDEX(tblTrans[ProductID],153)),"")</f>
        <v/>
      </c>
      <c r="C154" t="str">
        <f>IFERROR(IF(OR(INDEX(tblTrans[ProductID],153)="",ISNUMBER(SEARCH("ProductID",INDEX(tblTrans[ProductID],153)))),"",INDEX(tblTrans[Location],153)),"")</f>
        <v/>
      </c>
      <c r="D154" t="str">
        <f>IFERROR(IF(OR(INDEX(tblTrans[ProductID],153)="",ISNUMBER(SEARCH("ProductID",INDEX(tblTrans[ProductID],153)))),"",INDEX(tblTrans[Quantity],153)),"")</f>
        <v/>
      </c>
      <c r="E154" t="str">
        <f>IFERROR(IF(OR(INDEX(tblTrans[ProductID],153)="",ISNUMBER(SEARCH("ProductID",INDEX(tblTrans[ProductID],153)))),"",INDEX(tblTrans[Type],153)),"")</f>
        <v/>
      </c>
      <c r="F154" t="str">
        <f>IFERROR(IF(OR(INDEX(tblTrans[ProductID],153)="",ISNUMBER(SEARCH("ProductID",INDEX(tblTrans[ProductID],153)))),"",_xlfn.XLOOKUP(B154,tblProducts[ProductID],tblProducts[ProductName],"")),"")</f>
        <v/>
      </c>
      <c r="G154" t="str">
        <f>IFERROR(IF(OR(INDEX(tblTrans[ProductID],153)="",ISNUMBER(SEARCH("ProductID",INDEX(tblTrans[ProductID],153)))),"",_xlfn.XLOOKUP(B154,tblProducts[ProductID],tblProducts[Category],"")),"")</f>
        <v/>
      </c>
      <c r="H154" t="str">
        <f>IFERROR(IF(OR(INDEX(tblTrans[ProductID],153)="",ISNUMBER(SEARCH("ProductID",INDEX(tblTrans[ProductID],153)))),"",_xlfn.XLOOKUP(B154,tblProducts[ProductID],tblProducts[Supplier],"")),"")</f>
        <v/>
      </c>
      <c r="I154" t="str">
        <f>IFERROR(IF(OR(INDEX(tblTrans[ProductID],153)="",ISNUMBER(SEARCH("ProductID",INDEX(tblTrans[ProductID],153)))),"",D154*_xlfn.XLOOKUP(B154,tblProducts[ProductID],tblProducts[UnitCost],0)),"")</f>
        <v/>
      </c>
    </row>
    <row r="155" spans="1:9" x14ac:dyDescent="0.3">
      <c r="A155" s="5" t="str">
        <f>IFERROR(IF(OR(INDEX(tblTrans[ProductID],154)="",ISNUMBER(SEARCH("ProductID",INDEX(tblTrans[ProductID],154)))),"",INDEX(tblTrans[Date],154)),"")</f>
        <v/>
      </c>
      <c r="B155" t="str">
        <f>IFERROR(IF(OR(INDEX(tblTrans[ProductID],154)="",ISNUMBER(SEARCH("ProductID",INDEX(tblTrans[ProductID],154)))),"",INDEX(tblTrans[ProductID],154)),"")</f>
        <v/>
      </c>
      <c r="C155" t="str">
        <f>IFERROR(IF(OR(INDEX(tblTrans[ProductID],154)="",ISNUMBER(SEARCH("ProductID",INDEX(tblTrans[ProductID],154)))),"",INDEX(tblTrans[Location],154)),"")</f>
        <v/>
      </c>
      <c r="D155" t="str">
        <f>IFERROR(IF(OR(INDEX(tblTrans[ProductID],154)="",ISNUMBER(SEARCH("ProductID",INDEX(tblTrans[ProductID],154)))),"",INDEX(tblTrans[Quantity],154)),"")</f>
        <v/>
      </c>
      <c r="E155" t="str">
        <f>IFERROR(IF(OR(INDEX(tblTrans[ProductID],154)="",ISNUMBER(SEARCH("ProductID",INDEX(tblTrans[ProductID],154)))),"",INDEX(tblTrans[Type],154)),"")</f>
        <v/>
      </c>
      <c r="F155" t="str">
        <f>IFERROR(IF(OR(INDEX(tblTrans[ProductID],154)="",ISNUMBER(SEARCH("ProductID",INDEX(tblTrans[ProductID],154)))),"",_xlfn.XLOOKUP(B155,tblProducts[ProductID],tblProducts[ProductName],"")),"")</f>
        <v/>
      </c>
      <c r="G155" t="str">
        <f>IFERROR(IF(OR(INDEX(tblTrans[ProductID],154)="",ISNUMBER(SEARCH("ProductID",INDEX(tblTrans[ProductID],154)))),"",_xlfn.XLOOKUP(B155,tblProducts[ProductID],tblProducts[Category],"")),"")</f>
        <v/>
      </c>
      <c r="H155" t="str">
        <f>IFERROR(IF(OR(INDEX(tblTrans[ProductID],154)="",ISNUMBER(SEARCH("ProductID",INDEX(tblTrans[ProductID],154)))),"",_xlfn.XLOOKUP(B155,tblProducts[ProductID],tblProducts[Supplier],"")),"")</f>
        <v/>
      </c>
      <c r="I155" t="str">
        <f>IFERROR(IF(OR(INDEX(tblTrans[ProductID],154)="",ISNUMBER(SEARCH("ProductID",INDEX(tblTrans[ProductID],154)))),"",D155*_xlfn.XLOOKUP(B155,tblProducts[ProductID],tblProducts[UnitCost],0)),"")</f>
        <v/>
      </c>
    </row>
    <row r="156" spans="1:9" x14ac:dyDescent="0.3">
      <c r="A156" s="5" t="str">
        <f>IFERROR(IF(OR(INDEX(tblTrans[ProductID],155)="",ISNUMBER(SEARCH("ProductID",INDEX(tblTrans[ProductID],155)))),"",INDEX(tblTrans[Date],155)),"")</f>
        <v/>
      </c>
      <c r="B156" t="str">
        <f>IFERROR(IF(OR(INDEX(tblTrans[ProductID],155)="",ISNUMBER(SEARCH("ProductID",INDEX(tblTrans[ProductID],155)))),"",INDEX(tblTrans[ProductID],155)),"")</f>
        <v/>
      </c>
      <c r="C156" t="str">
        <f>IFERROR(IF(OR(INDEX(tblTrans[ProductID],155)="",ISNUMBER(SEARCH("ProductID",INDEX(tblTrans[ProductID],155)))),"",INDEX(tblTrans[Location],155)),"")</f>
        <v/>
      </c>
      <c r="D156" t="str">
        <f>IFERROR(IF(OR(INDEX(tblTrans[ProductID],155)="",ISNUMBER(SEARCH("ProductID",INDEX(tblTrans[ProductID],155)))),"",INDEX(tblTrans[Quantity],155)),"")</f>
        <v/>
      </c>
      <c r="E156" t="str">
        <f>IFERROR(IF(OR(INDEX(tblTrans[ProductID],155)="",ISNUMBER(SEARCH("ProductID",INDEX(tblTrans[ProductID],155)))),"",INDEX(tblTrans[Type],155)),"")</f>
        <v/>
      </c>
      <c r="F156" t="str">
        <f>IFERROR(IF(OR(INDEX(tblTrans[ProductID],155)="",ISNUMBER(SEARCH("ProductID",INDEX(tblTrans[ProductID],155)))),"",_xlfn.XLOOKUP(B156,tblProducts[ProductID],tblProducts[ProductName],"")),"")</f>
        <v/>
      </c>
      <c r="G156" t="str">
        <f>IFERROR(IF(OR(INDEX(tblTrans[ProductID],155)="",ISNUMBER(SEARCH("ProductID",INDEX(tblTrans[ProductID],155)))),"",_xlfn.XLOOKUP(B156,tblProducts[ProductID],tblProducts[Category],"")),"")</f>
        <v/>
      </c>
      <c r="H156" t="str">
        <f>IFERROR(IF(OR(INDEX(tblTrans[ProductID],155)="",ISNUMBER(SEARCH("ProductID",INDEX(tblTrans[ProductID],155)))),"",_xlfn.XLOOKUP(B156,tblProducts[ProductID],tblProducts[Supplier],"")),"")</f>
        <v/>
      </c>
      <c r="I156" t="str">
        <f>IFERROR(IF(OR(INDEX(tblTrans[ProductID],155)="",ISNUMBER(SEARCH("ProductID",INDEX(tblTrans[ProductID],155)))),"",D156*_xlfn.XLOOKUP(B156,tblProducts[ProductID],tblProducts[UnitCost],0)),"")</f>
        <v/>
      </c>
    </row>
    <row r="157" spans="1:9" x14ac:dyDescent="0.3">
      <c r="A157" s="5" t="str">
        <f>IFERROR(IF(OR(INDEX(tblTrans[ProductID],156)="",ISNUMBER(SEARCH("ProductID",INDEX(tblTrans[ProductID],156)))),"",INDEX(tblTrans[Date],156)),"")</f>
        <v/>
      </c>
      <c r="B157" t="str">
        <f>IFERROR(IF(OR(INDEX(tblTrans[ProductID],156)="",ISNUMBER(SEARCH("ProductID",INDEX(tblTrans[ProductID],156)))),"",INDEX(tblTrans[ProductID],156)),"")</f>
        <v/>
      </c>
      <c r="C157" t="str">
        <f>IFERROR(IF(OR(INDEX(tblTrans[ProductID],156)="",ISNUMBER(SEARCH("ProductID",INDEX(tblTrans[ProductID],156)))),"",INDEX(tblTrans[Location],156)),"")</f>
        <v/>
      </c>
      <c r="D157" t="str">
        <f>IFERROR(IF(OR(INDEX(tblTrans[ProductID],156)="",ISNUMBER(SEARCH("ProductID",INDEX(tblTrans[ProductID],156)))),"",INDEX(tblTrans[Quantity],156)),"")</f>
        <v/>
      </c>
      <c r="E157" t="str">
        <f>IFERROR(IF(OR(INDEX(tblTrans[ProductID],156)="",ISNUMBER(SEARCH("ProductID",INDEX(tblTrans[ProductID],156)))),"",INDEX(tblTrans[Type],156)),"")</f>
        <v/>
      </c>
      <c r="F157" t="str">
        <f>IFERROR(IF(OR(INDEX(tblTrans[ProductID],156)="",ISNUMBER(SEARCH("ProductID",INDEX(tblTrans[ProductID],156)))),"",_xlfn.XLOOKUP(B157,tblProducts[ProductID],tblProducts[ProductName],"")),"")</f>
        <v/>
      </c>
      <c r="G157" t="str">
        <f>IFERROR(IF(OR(INDEX(tblTrans[ProductID],156)="",ISNUMBER(SEARCH("ProductID",INDEX(tblTrans[ProductID],156)))),"",_xlfn.XLOOKUP(B157,tblProducts[ProductID],tblProducts[Category],"")),"")</f>
        <v/>
      </c>
      <c r="H157" t="str">
        <f>IFERROR(IF(OR(INDEX(tblTrans[ProductID],156)="",ISNUMBER(SEARCH("ProductID",INDEX(tblTrans[ProductID],156)))),"",_xlfn.XLOOKUP(B157,tblProducts[ProductID],tblProducts[Supplier],"")),"")</f>
        <v/>
      </c>
      <c r="I157" t="str">
        <f>IFERROR(IF(OR(INDEX(tblTrans[ProductID],156)="",ISNUMBER(SEARCH("ProductID",INDEX(tblTrans[ProductID],156)))),"",D157*_xlfn.XLOOKUP(B157,tblProducts[ProductID],tblProducts[UnitCost],0)),"")</f>
        <v/>
      </c>
    </row>
    <row r="158" spans="1:9" x14ac:dyDescent="0.3">
      <c r="A158" s="5" t="str">
        <f>IFERROR(IF(OR(INDEX(tblTrans[ProductID],157)="",ISNUMBER(SEARCH("ProductID",INDEX(tblTrans[ProductID],157)))),"",INDEX(tblTrans[Date],157)),"")</f>
        <v/>
      </c>
      <c r="B158" t="str">
        <f>IFERROR(IF(OR(INDEX(tblTrans[ProductID],157)="",ISNUMBER(SEARCH("ProductID",INDEX(tblTrans[ProductID],157)))),"",INDEX(tblTrans[ProductID],157)),"")</f>
        <v/>
      </c>
      <c r="C158" t="str">
        <f>IFERROR(IF(OR(INDEX(tblTrans[ProductID],157)="",ISNUMBER(SEARCH("ProductID",INDEX(tblTrans[ProductID],157)))),"",INDEX(tblTrans[Location],157)),"")</f>
        <v/>
      </c>
      <c r="D158" t="str">
        <f>IFERROR(IF(OR(INDEX(tblTrans[ProductID],157)="",ISNUMBER(SEARCH("ProductID",INDEX(tblTrans[ProductID],157)))),"",INDEX(tblTrans[Quantity],157)),"")</f>
        <v/>
      </c>
      <c r="E158" t="str">
        <f>IFERROR(IF(OR(INDEX(tblTrans[ProductID],157)="",ISNUMBER(SEARCH("ProductID",INDEX(tblTrans[ProductID],157)))),"",INDEX(tblTrans[Type],157)),"")</f>
        <v/>
      </c>
      <c r="F158" t="str">
        <f>IFERROR(IF(OR(INDEX(tblTrans[ProductID],157)="",ISNUMBER(SEARCH("ProductID",INDEX(tblTrans[ProductID],157)))),"",_xlfn.XLOOKUP(B158,tblProducts[ProductID],tblProducts[ProductName],"")),"")</f>
        <v/>
      </c>
      <c r="G158" t="str">
        <f>IFERROR(IF(OR(INDEX(tblTrans[ProductID],157)="",ISNUMBER(SEARCH("ProductID",INDEX(tblTrans[ProductID],157)))),"",_xlfn.XLOOKUP(B158,tblProducts[ProductID],tblProducts[Category],"")),"")</f>
        <v/>
      </c>
      <c r="H158" t="str">
        <f>IFERROR(IF(OR(INDEX(tblTrans[ProductID],157)="",ISNUMBER(SEARCH("ProductID",INDEX(tblTrans[ProductID],157)))),"",_xlfn.XLOOKUP(B158,tblProducts[ProductID],tblProducts[Supplier],"")),"")</f>
        <v/>
      </c>
      <c r="I158" t="str">
        <f>IFERROR(IF(OR(INDEX(tblTrans[ProductID],157)="",ISNUMBER(SEARCH("ProductID",INDEX(tblTrans[ProductID],157)))),"",D158*_xlfn.XLOOKUP(B158,tblProducts[ProductID],tblProducts[UnitCost],0)),"")</f>
        <v/>
      </c>
    </row>
    <row r="159" spans="1:9" x14ac:dyDescent="0.3">
      <c r="A159" s="5" t="str">
        <f>IFERROR(IF(OR(INDEX(tblTrans[ProductID],158)="",ISNUMBER(SEARCH("ProductID",INDEX(tblTrans[ProductID],158)))),"",INDEX(tblTrans[Date],158)),"")</f>
        <v/>
      </c>
      <c r="B159" t="str">
        <f>IFERROR(IF(OR(INDEX(tblTrans[ProductID],158)="",ISNUMBER(SEARCH("ProductID",INDEX(tblTrans[ProductID],158)))),"",INDEX(tblTrans[ProductID],158)),"")</f>
        <v/>
      </c>
      <c r="C159" t="str">
        <f>IFERROR(IF(OR(INDEX(tblTrans[ProductID],158)="",ISNUMBER(SEARCH("ProductID",INDEX(tblTrans[ProductID],158)))),"",INDEX(tblTrans[Location],158)),"")</f>
        <v/>
      </c>
      <c r="D159" t="str">
        <f>IFERROR(IF(OR(INDEX(tblTrans[ProductID],158)="",ISNUMBER(SEARCH("ProductID",INDEX(tblTrans[ProductID],158)))),"",INDEX(tblTrans[Quantity],158)),"")</f>
        <v/>
      </c>
      <c r="E159" t="str">
        <f>IFERROR(IF(OR(INDEX(tblTrans[ProductID],158)="",ISNUMBER(SEARCH("ProductID",INDEX(tblTrans[ProductID],158)))),"",INDEX(tblTrans[Type],158)),"")</f>
        <v/>
      </c>
      <c r="F159" t="str">
        <f>IFERROR(IF(OR(INDEX(tblTrans[ProductID],158)="",ISNUMBER(SEARCH("ProductID",INDEX(tblTrans[ProductID],158)))),"",_xlfn.XLOOKUP(B159,tblProducts[ProductID],tblProducts[ProductName],"")),"")</f>
        <v/>
      </c>
      <c r="G159" t="str">
        <f>IFERROR(IF(OR(INDEX(tblTrans[ProductID],158)="",ISNUMBER(SEARCH("ProductID",INDEX(tblTrans[ProductID],158)))),"",_xlfn.XLOOKUP(B159,tblProducts[ProductID],tblProducts[Category],"")),"")</f>
        <v/>
      </c>
      <c r="H159" t="str">
        <f>IFERROR(IF(OR(INDEX(tblTrans[ProductID],158)="",ISNUMBER(SEARCH("ProductID",INDEX(tblTrans[ProductID],158)))),"",_xlfn.XLOOKUP(B159,tblProducts[ProductID],tblProducts[Supplier],"")),"")</f>
        <v/>
      </c>
      <c r="I159" t="str">
        <f>IFERROR(IF(OR(INDEX(tblTrans[ProductID],158)="",ISNUMBER(SEARCH("ProductID",INDEX(tblTrans[ProductID],158)))),"",D159*_xlfn.XLOOKUP(B159,tblProducts[ProductID],tblProducts[UnitCost],0)),"")</f>
        <v/>
      </c>
    </row>
    <row r="160" spans="1:9" x14ac:dyDescent="0.3">
      <c r="A160" s="5" t="str">
        <f>IFERROR(IF(OR(INDEX(tblTrans[ProductID],159)="",ISNUMBER(SEARCH("ProductID",INDEX(tblTrans[ProductID],159)))),"",INDEX(tblTrans[Date],159)),"")</f>
        <v/>
      </c>
      <c r="B160" t="str">
        <f>IFERROR(IF(OR(INDEX(tblTrans[ProductID],159)="",ISNUMBER(SEARCH("ProductID",INDEX(tblTrans[ProductID],159)))),"",INDEX(tblTrans[ProductID],159)),"")</f>
        <v/>
      </c>
      <c r="C160" t="str">
        <f>IFERROR(IF(OR(INDEX(tblTrans[ProductID],159)="",ISNUMBER(SEARCH("ProductID",INDEX(tblTrans[ProductID],159)))),"",INDEX(tblTrans[Location],159)),"")</f>
        <v/>
      </c>
      <c r="D160" t="str">
        <f>IFERROR(IF(OR(INDEX(tblTrans[ProductID],159)="",ISNUMBER(SEARCH("ProductID",INDEX(tblTrans[ProductID],159)))),"",INDEX(tblTrans[Quantity],159)),"")</f>
        <v/>
      </c>
      <c r="E160" t="str">
        <f>IFERROR(IF(OR(INDEX(tblTrans[ProductID],159)="",ISNUMBER(SEARCH("ProductID",INDEX(tblTrans[ProductID],159)))),"",INDEX(tblTrans[Type],159)),"")</f>
        <v/>
      </c>
      <c r="F160" t="str">
        <f>IFERROR(IF(OR(INDEX(tblTrans[ProductID],159)="",ISNUMBER(SEARCH("ProductID",INDEX(tblTrans[ProductID],159)))),"",_xlfn.XLOOKUP(B160,tblProducts[ProductID],tblProducts[ProductName],"")),"")</f>
        <v/>
      </c>
      <c r="G160" t="str">
        <f>IFERROR(IF(OR(INDEX(tblTrans[ProductID],159)="",ISNUMBER(SEARCH("ProductID",INDEX(tblTrans[ProductID],159)))),"",_xlfn.XLOOKUP(B160,tblProducts[ProductID],tblProducts[Category],"")),"")</f>
        <v/>
      </c>
      <c r="H160" t="str">
        <f>IFERROR(IF(OR(INDEX(tblTrans[ProductID],159)="",ISNUMBER(SEARCH("ProductID",INDEX(tblTrans[ProductID],159)))),"",_xlfn.XLOOKUP(B160,tblProducts[ProductID],tblProducts[Supplier],"")),"")</f>
        <v/>
      </c>
      <c r="I160" t="str">
        <f>IFERROR(IF(OR(INDEX(tblTrans[ProductID],159)="",ISNUMBER(SEARCH("ProductID",INDEX(tblTrans[ProductID],159)))),"",D160*_xlfn.XLOOKUP(B160,tblProducts[ProductID],tblProducts[UnitCost],0)),"")</f>
        <v/>
      </c>
    </row>
    <row r="161" spans="1:9" x14ac:dyDescent="0.3">
      <c r="A161" s="5" t="str">
        <f>IFERROR(IF(OR(INDEX(tblTrans[ProductID],160)="",ISNUMBER(SEARCH("ProductID",INDEX(tblTrans[ProductID],160)))),"",INDEX(tblTrans[Date],160)),"")</f>
        <v/>
      </c>
      <c r="B161" t="str">
        <f>IFERROR(IF(OR(INDEX(tblTrans[ProductID],160)="",ISNUMBER(SEARCH("ProductID",INDEX(tblTrans[ProductID],160)))),"",INDEX(tblTrans[ProductID],160)),"")</f>
        <v/>
      </c>
      <c r="C161" t="str">
        <f>IFERROR(IF(OR(INDEX(tblTrans[ProductID],160)="",ISNUMBER(SEARCH("ProductID",INDEX(tblTrans[ProductID],160)))),"",INDEX(tblTrans[Location],160)),"")</f>
        <v/>
      </c>
      <c r="D161" t="str">
        <f>IFERROR(IF(OR(INDEX(tblTrans[ProductID],160)="",ISNUMBER(SEARCH("ProductID",INDEX(tblTrans[ProductID],160)))),"",INDEX(tblTrans[Quantity],160)),"")</f>
        <v/>
      </c>
      <c r="E161" t="str">
        <f>IFERROR(IF(OR(INDEX(tblTrans[ProductID],160)="",ISNUMBER(SEARCH("ProductID",INDEX(tblTrans[ProductID],160)))),"",INDEX(tblTrans[Type],160)),"")</f>
        <v/>
      </c>
      <c r="F161" t="str">
        <f>IFERROR(IF(OR(INDEX(tblTrans[ProductID],160)="",ISNUMBER(SEARCH("ProductID",INDEX(tblTrans[ProductID],160)))),"",_xlfn.XLOOKUP(B161,tblProducts[ProductID],tblProducts[ProductName],"")),"")</f>
        <v/>
      </c>
      <c r="G161" t="str">
        <f>IFERROR(IF(OR(INDEX(tblTrans[ProductID],160)="",ISNUMBER(SEARCH("ProductID",INDEX(tblTrans[ProductID],160)))),"",_xlfn.XLOOKUP(B161,tblProducts[ProductID],tblProducts[Category],"")),"")</f>
        <v/>
      </c>
      <c r="H161" t="str">
        <f>IFERROR(IF(OR(INDEX(tblTrans[ProductID],160)="",ISNUMBER(SEARCH("ProductID",INDEX(tblTrans[ProductID],160)))),"",_xlfn.XLOOKUP(B161,tblProducts[ProductID],tblProducts[Supplier],"")),"")</f>
        <v/>
      </c>
      <c r="I161" t="str">
        <f>IFERROR(IF(OR(INDEX(tblTrans[ProductID],160)="",ISNUMBER(SEARCH("ProductID",INDEX(tblTrans[ProductID],160)))),"",D161*_xlfn.XLOOKUP(B161,tblProducts[ProductID],tblProducts[UnitCost],0)),"")</f>
        <v/>
      </c>
    </row>
    <row r="162" spans="1:9" x14ac:dyDescent="0.3">
      <c r="A162" s="5" t="str">
        <f>IFERROR(IF(OR(INDEX(tblTrans[ProductID],161)="",ISNUMBER(SEARCH("ProductID",INDEX(tblTrans[ProductID],161)))),"",INDEX(tblTrans[Date],161)),"")</f>
        <v/>
      </c>
      <c r="B162" t="str">
        <f>IFERROR(IF(OR(INDEX(tblTrans[ProductID],161)="",ISNUMBER(SEARCH("ProductID",INDEX(tblTrans[ProductID],161)))),"",INDEX(tblTrans[ProductID],161)),"")</f>
        <v/>
      </c>
      <c r="C162" t="str">
        <f>IFERROR(IF(OR(INDEX(tblTrans[ProductID],161)="",ISNUMBER(SEARCH("ProductID",INDEX(tblTrans[ProductID],161)))),"",INDEX(tblTrans[Location],161)),"")</f>
        <v/>
      </c>
      <c r="D162" t="str">
        <f>IFERROR(IF(OR(INDEX(tblTrans[ProductID],161)="",ISNUMBER(SEARCH("ProductID",INDEX(tblTrans[ProductID],161)))),"",INDEX(tblTrans[Quantity],161)),"")</f>
        <v/>
      </c>
      <c r="E162" t="str">
        <f>IFERROR(IF(OR(INDEX(tblTrans[ProductID],161)="",ISNUMBER(SEARCH("ProductID",INDEX(tblTrans[ProductID],161)))),"",INDEX(tblTrans[Type],161)),"")</f>
        <v/>
      </c>
      <c r="F162" t="str">
        <f>IFERROR(IF(OR(INDEX(tblTrans[ProductID],161)="",ISNUMBER(SEARCH("ProductID",INDEX(tblTrans[ProductID],161)))),"",_xlfn.XLOOKUP(B162,tblProducts[ProductID],tblProducts[ProductName],"")),"")</f>
        <v/>
      </c>
      <c r="G162" t="str">
        <f>IFERROR(IF(OR(INDEX(tblTrans[ProductID],161)="",ISNUMBER(SEARCH("ProductID",INDEX(tblTrans[ProductID],161)))),"",_xlfn.XLOOKUP(B162,tblProducts[ProductID],tblProducts[Category],"")),"")</f>
        <v/>
      </c>
      <c r="H162" t="str">
        <f>IFERROR(IF(OR(INDEX(tblTrans[ProductID],161)="",ISNUMBER(SEARCH("ProductID",INDEX(tblTrans[ProductID],161)))),"",_xlfn.XLOOKUP(B162,tblProducts[ProductID],tblProducts[Supplier],"")),"")</f>
        <v/>
      </c>
      <c r="I162" t="str">
        <f>IFERROR(IF(OR(INDEX(tblTrans[ProductID],161)="",ISNUMBER(SEARCH("ProductID",INDEX(tblTrans[ProductID],161)))),"",D162*_xlfn.XLOOKUP(B162,tblProducts[ProductID],tblProducts[UnitCost],0)),"")</f>
        <v/>
      </c>
    </row>
    <row r="163" spans="1:9" x14ac:dyDescent="0.3">
      <c r="A163" s="5" t="str">
        <f>IFERROR(IF(OR(INDEX(tblTrans[ProductID],162)="",ISNUMBER(SEARCH("ProductID",INDEX(tblTrans[ProductID],162)))),"",INDEX(tblTrans[Date],162)),"")</f>
        <v/>
      </c>
      <c r="B163" t="str">
        <f>IFERROR(IF(OR(INDEX(tblTrans[ProductID],162)="",ISNUMBER(SEARCH("ProductID",INDEX(tblTrans[ProductID],162)))),"",INDEX(tblTrans[ProductID],162)),"")</f>
        <v/>
      </c>
      <c r="C163" t="str">
        <f>IFERROR(IF(OR(INDEX(tblTrans[ProductID],162)="",ISNUMBER(SEARCH("ProductID",INDEX(tblTrans[ProductID],162)))),"",INDEX(tblTrans[Location],162)),"")</f>
        <v/>
      </c>
      <c r="D163" t="str">
        <f>IFERROR(IF(OR(INDEX(tblTrans[ProductID],162)="",ISNUMBER(SEARCH("ProductID",INDEX(tblTrans[ProductID],162)))),"",INDEX(tblTrans[Quantity],162)),"")</f>
        <v/>
      </c>
      <c r="E163" t="str">
        <f>IFERROR(IF(OR(INDEX(tblTrans[ProductID],162)="",ISNUMBER(SEARCH("ProductID",INDEX(tblTrans[ProductID],162)))),"",INDEX(tblTrans[Type],162)),"")</f>
        <v/>
      </c>
      <c r="F163" t="str">
        <f>IFERROR(IF(OR(INDEX(tblTrans[ProductID],162)="",ISNUMBER(SEARCH("ProductID",INDEX(tblTrans[ProductID],162)))),"",_xlfn.XLOOKUP(B163,tblProducts[ProductID],tblProducts[ProductName],"")),"")</f>
        <v/>
      </c>
      <c r="G163" t="str">
        <f>IFERROR(IF(OR(INDEX(tblTrans[ProductID],162)="",ISNUMBER(SEARCH("ProductID",INDEX(tblTrans[ProductID],162)))),"",_xlfn.XLOOKUP(B163,tblProducts[ProductID],tblProducts[Category],"")),"")</f>
        <v/>
      </c>
      <c r="H163" t="str">
        <f>IFERROR(IF(OR(INDEX(tblTrans[ProductID],162)="",ISNUMBER(SEARCH("ProductID",INDEX(tblTrans[ProductID],162)))),"",_xlfn.XLOOKUP(B163,tblProducts[ProductID],tblProducts[Supplier],"")),"")</f>
        <v/>
      </c>
      <c r="I163" t="str">
        <f>IFERROR(IF(OR(INDEX(tblTrans[ProductID],162)="",ISNUMBER(SEARCH("ProductID",INDEX(tblTrans[ProductID],162)))),"",D163*_xlfn.XLOOKUP(B163,tblProducts[ProductID],tblProducts[UnitCost],0)),"")</f>
        <v/>
      </c>
    </row>
    <row r="164" spans="1:9" x14ac:dyDescent="0.3">
      <c r="A164" s="5" t="str">
        <f>IFERROR(IF(OR(INDEX(tblTrans[ProductID],163)="",ISNUMBER(SEARCH("ProductID",INDEX(tblTrans[ProductID],163)))),"",INDEX(tblTrans[Date],163)),"")</f>
        <v/>
      </c>
      <c r="B164" t="str">
        <f>IFERROR(IF(OR(INDEX(tblTrans[ProductID],163)="",ISNUMBER(SEARCH("ProductID",INDEX(tblTrans[ProductID],163)))),"",INDEX(tblTrans[ProductID],163)),"")</f>
        <v/>
      </c>
      <c r="C164" t="str">
        <f>IFERROR(IF(OR(INDEX(tblTrans[ProductID],163)="",ISNUMBER(SEARCH("ProductID",INDEX(tblTrans[ProductID],163)))),"",INDEX(tblTrans[Location],163)),"")</f>
        <v/>
      </c>
      <c r="D164" t="str">
        <f>IFERROR(IF(OR(INDEX(tblTrans[ProductID],163)="",ISNUMBER(SEARCH("ProductID",INDEX(tblTrans[ProductID],163)))),"",INDEX(tblTrans[Quantity],163)),"")</f>
        <v/>
      </c>
      <c r="E164" t="str">
        <f>IFERROR(IF(OR(INDEX(tblTrans[ProductID],163)="",ISNUMBER(SEARCH("ProductID",INDEX(tblTrans[ProductID],163)))),"",INDEX(tblTrans[Type],163)),"")</f>
        <v/>
      </c>
      <c r="F164" t="str">
        <f>IFERROR(IF(OR(INDEX(tblTrans[ProductID],163)="",ISNUMBER(SEARCH("ProductID",INDEX(tblTrans[ProductID],163)))),"",_xlfn.XLOOKUP(B164,tblProducts[ProductID],tblProducts[ProductName],"")),"")</f>
        <v/>
      </c>
      <c r="G164" t="str">
        <f>IFERROR(IF(OR(INDEX(tblTrans[ProductID],163)="",ISNUMBER(SEARCH("ProductID",INDEX(tblTrans[ProductID],163)))),"",_xlfn.XLOOKUP(B164,tblProducts[ProductID],tblProducts[Category],"")),"")</f>
        <v/>
      </c>
      <c r="H164" t="str">
        <f>IFERROR(IF(OR(INDEX(tblTrans[ProductID],163)="",ISNUMBER(SEARCH("ProductID",INDEX(tblTrans[ProductID],163)))),"",_xlfn.XLOOKUP(B164,tblProducts[ProductID],tblProducts[Supplier],"")),"")</f>
        <v/>
      </c>
      <c r="I164" t="str">
        <f>IFERROR(IF(OR(INDEX(tblTrans[ProductID],163)="",ISNUMBER(SEARCH("ProductID",INDEX(tblTrans[ProductID],163)))),"",D164*_xlfn.XLOOKUP(B164,tblProducts[ProductID],tblProducts[UnitCost],0)),"")</f>
        <v/>
      </c>
    </row>
    <row r="165" spans="1:9" x14ac:dyDescent="0.3">
      <c r="A165" s="5" t="str">
        <f>IFERROR(IF(OR(INDEX(tblTrans[ProductID],164)="",ISNUMBER(SEARCH("ProductID",INDEX(tblTrans[ProductID],164)))),"",INDEX(tblTrans[Date],164)),"")</f>
        <v/>
      </c>
      <c r="B165" t="str">
        <f>IFERROR(IF(OR(INDEX(tblTrans[ProductID],164)="",ISNUMBER(SEARCH("ProductID",INDEX(tblTrans[ProductID],164)))),"",INDEX(tblTrans[ProductID],164)),"")</f>
        <v/>
      </c>
      <c r="C165" t="str">
        <f>IFERROR(IF(OR(INDEX(tblTrans[ProductID],164)="",ISNUMBER(SEARCH("ProductID",INDEX(tblTrans[ProductID],164)))),"",INDEX(tblTrans[Location],164)),"")</f>
        <v/>
      </c>
      <c r="D165" t="str">
        <f>IFERROR(IF(OR(INDEX(tblTrans[ProductID],164)="",ISNUMBER(SEARCH("ProductID",INDEX(tblTrans[ProductID],164)))),"",INDEX(tblTrans[Quantity],164)),"")</f>
        <v/>
      </c>
      <c r="E165" t="str">
        <f>IFERROR(IF(OR(INDEX(tblTrans[ProductID],164)="",ISNUMBER(SEARCH("ProductID",INDEX(tblTrans[ProductID],164)))),"",INDEX(tblTrans[Type],164)),"")</f>
        <v/>
      </c>
      <c r="F165" t="str">
        <f>IFERROR(IF(OR(INDEX(tblTrans[ProductID],164)="",ISNUMBER(SEARCH("ProductID",INDEX(tblTrans[ProductID],164)))),"",_xlfn.XLOOKUP(B165,tblProducts[ProductID],tblProducts[ProductName],"")),"")</f>
        <v/>
      </c>
      <c r="G165" t="str">
        <f>IFERROR(IF(OR(INDEX(tblTrans[ProductID],164)="",ISNUMBER(SEARCH("ProductID",INDEX(tblTrans[ProductID],164)))),"",_xlfn.XLOOKUP(B165,tblProducts[ProductID],tblProducts[Category],"")),"")</f>
        <v/>
      </c>
      <c r="H165" t="str">
        <f>IFERROR(IF(OR(INDEX(tblTrans[ProductID],164)="",ISNUMBER(SEARCH("ProductID",INDEX(tblTrans[ProductID],164)))),"",_xlfn.XLOOKUP(B165,tblProducts[ProductID],tblProducts[Supplier],"")),"")</f>
        <v/>
      </c>
      <c r="I165" t="str">
        <f>IFERROR(IF(OR(INDEX(tblTrans[ProductID],164)="",ISNUMBER(SEARCH("ProductID",INDEX(tblTrans[ProductID],164)))),"",D165*_xlfn.XLOOKUP(B165,tblProducts[ProductID],tblProducts[UnitCost],0)),"")</f>
        <v/>
      </c>
    </row>
    <row r="166" spans="1:9" x14ac:dyDescent="0.3">
      <c r="A166" s="5" t="str">
        <f>IFERROR(IF(OR(INDEX(tblTrans[ProductID],165)="",ISNUMBER(SEARCH("ProductID",INDEX(tblTrans[ProductID],165)))),"",INDEX(tblTrans[Date],165)),"")</f>
        <v/>
      </c>
      <c r="B166" t="str">
        <f>IFERROR(IF(OR(INDEX(tblTrans[ProductID],165)="",ISNUMBER(SEARCH("ProductID",INDEX(tblTrans[ProductID],165)))),"",INDEX(tblTrans[ProductID],165)),"")</f>
        <v/>
      </c>
      <c r="C166" t="str">
        <f>IFERROR(IF(OR(INDEX(tblTrans[ProductID],165)="",ISNUMBER(SEARCH("ProductID",INDEX(tblTrans[ProductID],165)))),"",INDEX(tblTrans[Location],165)),"")</f>
        <v/>
      </c>
      <c r="D166" t="str">
        <f>IFERROR(IF(OR(INDEX(tblTrans[ProductID],165)="",ISNUMBER(SEARCH("ProductID",INDEX(tblTrans[ProductID],165)))),"",INDEX(tblTrans[Quantity],165)),"")</f>
        <v/>
      </c>
      <c r="E166" t="str">
        <f>IFERROR(IF(OR(INDEX(tblTrans[ProductID],165)="",ISNUMBER(SEARCH("ProductID",INDEX(tblTrans[ProductID],165)))),"",INDEX(tblTrans[Type],165)),"")</f>
        <v/>
      </c>
      <c r="F166" t="str">
        <f>IFERROR(IF(OR(INDEX(tblTrans[ProductID],165)="",ISNUMBER(SEARCH("ProductID",INDEX(tblTrans[ProductID],165)))),"",_xlfn.XLOOKUP(B166,tblProducts[ProductID],tblProducts[ProductName],"")),"")</f>
        <v/>
      </c>
      <c r="G166" t="str">
        <f>IFERROR(IF(OR(INDEX(tblTrans[ProductID],165)="",ISNUMBER(SEARCH("ProductID",INDEX(tblTrans[ProductID],165)))),"",_xlfn.XLOOKUP(B166,tblProducts[ProductID],tblProducts[Category],"")),"")</f>
        <v/>
      </c>
      <c r="H166" t="str">
        <f>IFERROR(IF(OR(INDEX(tblTrans[ProductID],165)="",ISNUMBER(SEARCH("ProductID",INDEX(tblTrans[ProductID],165)))),"",_xlfn.XLOOKUP(B166,tblProducts[ProductID],tblProducts[Supplier],"")),"")</f>
        <v/>
      </c>
      <c r="I166" t="str">
        <f>IFERROR(IF(OR(INDEX(tblTrans[ProductID],165)="",ISNUMBER(SEARCH("ProductID",INDEX(tblTrans[ProductID],165)))),"",D166*_xlfn.XLOOKUP(B166,tblProducts[ProductID],tblProducts[UnitCost],0)),"")</f>
        <v/>
      </c>
    </row>
    <row r="167" spans="1:9" x14ac:dyDescent="0.3">
      <c r="A167" s="5" t="str">
        <f>IFERROR(IF(OR(INDEX(tblTrans[ProductID],166)="",ISNUMBER(SEARCH("ProductID",INDEX(tblTrans[ProductID],166)))),"",INDEX(tblTrans[Date],166)),"")</f>
        <v/>
      </c>
      <c r="B167" t="str">
        <f>IFERROR(IF(OR(INDEX(tblTrans[ProductID],166)="",ISNUMBER(SEARCH("ProductID",INDEX(tblTrans[ProductID],166)))),"",INDEX(tblTrans[ProductID],166)),"")</f>
        <v/>
      </c>
      <c r="C167" t="str">
        <f>IFERROR(IF(OR(INDEX(tblTrans[ProductID],166)="",ISNUMBER(SEARCH("ProductID",INDEX(tblTrans[ProductID],166)))),"",INDEX(tblTrans[Location],166)),"")</f>
        <v/>
      </c>
      <c r="D167" t="str">
        <f>IFERROR(IF(OR(INDEX(tblTrans[ProductID],166)="",ISNUMBER(SEARCH("ProductID",INDEX(tblTrans[ProductID],166)))),"",INDEX(tblTrans[Quantity],166)),"")</f>
        <v/>
      </c>
      <c r="E167" t="str">
        <f>IFERROR(IF(OR(INDEX(tblTrans[ProductID],166)="",ISNUMBER(SEARCH("ProductID",INDEX(tblTrans[ProductID],166)))),"",INDEX(tblTrans[Type],166)),"")</f>
        <v/>
      </c>
      <c r="F167" t="str">
        <f>IFERROR(IF(OR(INDEX(tblTrans[ProductID],166)="",ISNUMBER(SEARCH("ProductID",INDEX(tblTrans[ProductID],166)))),"",_xlfn.XLOOKUP(B167,tblProducts[ProductID],tblProducts[ProductName],"")),"")</f>
        <v/>
      </c>
      <c r="G167" t="str">
        <f>IFERROR(IF(OR(INDEX(tblTrans[ProductID],166)="",ISNUMBER(SEARCH("ProductID",INDEX(tblTrans[ProductID],166)))),"",_xlfn.XLOOKUP(B167,tblProducts[ProductID],tblProducts[Category],"")),"")</f>
        <v/>
      </c>
      <c r="H167" t="str">
        <f>IFERROR(IF(OR(INDEX(tblTrans[ProductID],166)="",ISNUMBER(SEARCH("ProductID",INDEX(tblTrans[ProductID],166)))),"",_xlfn.XLOOKUP(B167,tblProducts[ProductID],tblProducts[Supplier],"")),"")</f>
        <v/>
      </c>
      <c r="I167" t="str">
        <f>IFERROR(IF(OR(INDEX(tblTrans[ProductID],166)="",ISNUMBER(SEARCH("ProductID",INDEX(tblTrans[ProductID],166)))),"",D167*_xlfn.XLOOKUP(B167,tblProducts[ProductID],tblProducts[UnitCost],0)),"")</f>
        <v/>
      </c>
    </row>
    <row r="168" spans="1:9" x14ac:dyDescent="0.3">
      <c r="A168" s="5" t="str">
        <f>IFERROR(IF(OR(INDEX(tblTrans[ProductID],167)="",ISNUMBER(SEARCH("ProductID",INDEX(tblTrans[ProductID],167)))),"",INDEX(tblTrans[Date],167)),"")</f>
        <v/>
      </c>
      <c r="B168" t="str">
        <f>IFERROR(IF(OR(INDEX(tblTrans[ProductID],167)="",ISNUMBER(SEARCH("ProductID",INDEX(tblTrans[ProductID],167)))),"",INDEX(tblTrans[ProductID],167)),"")</f>
        <v/>
      </c>
      <c r="C168" t="str">
        <f>IFERROR(IF(OR(INDEX(tblTrans[ProductID],167)="",ISNUMBER(SEARCH("ProductID",INDEX(tblTrans[ProductID],167)))),"",INDEX(tblTrans[Location],167)),"")</f>
        <v/>
      </c>
      <c r="D168" t="str">
        <f>IFERROR(IF(OR(INDEX(tblTrans[ProductID],167)="",ISNUMBER(SEARCH("ProductID",INDEX(tblTrans[ProductID],167)))),"",INDEX(tblTrans[Quantity],167)),"")</f>
        <v/>
      </c>
      <c r="E168" t="str">
        <f>IFERROR(IF(OR(INDEX(tblTrans[ProductID],167)="",ISNUMBER(SEARCH("ProductID",INDEX(tblTrans[ProductID],167)))),"",INDEX(tblTrans[Type],167)),"")</f>
        <v/>
      </c>
      <c r="F168" t="str">
        <f>IFERROR(IF(OR(INDEX(tblTrans[ProductID],167)="",ISNUMBER(SEARCH("ProductID",INDEX(tblTrans[ProductID],167)))),"",_xlfn.XLOOKUP(B168,tblProducts[ProductID],tblProducts[ProductName],"")),"")</f>
        <v/>
      </c>
      <c r="G168" t="str">
        <f>IFERROR(IF(OR(INDEX(tblTrans[ProductID],167)="",ISNUMBER(SEARCH("ProductID",INDEX(tblTrans[ProductID],167)))),"",_xlfn.XLOOKUP(B168,tblProducts[ProductID],tblProducts[Category],"")),"")</f>
        <v/>
      </c>
      <c r="H168" t="str">
        <f>IFERROR(IF(OR(INDEX(tblTrans[ProductID],167)="",ISNUMBER(SEARCH("ProductID",INDEX(tblTrans[ProductID],167)))),"",_xlfn.XLOOKUP(B168,tblProducts[ProductID],tblProducts[Supplier],"")),"")</f>
        <v/>
      </c>
      <c r="I168" t="str">
        <f>IFERROR(IF(OR(INDEX(tblTrans[ProductID],167)="",ISNUMBER(SEARCH("ProductID",INDEX(tblTrans[ProductID],167)))),"",D168*_xlfn.XLOOKUP(B168,tblProducts[ProductID],tblProducts[UnitCost],0)),"")</f>
        <v/>
      </c>
    </row>
    <row r="169" spans="1:9" x14ac:dyDescent="0.3">
      <c r="A169" s="5" t="str">
        <f>IFERROR(IF(OR(INDEX(tblTrans[ProductID],168)="",ISNUMBER(SEARCH("ProductID",INDEX(tblTrans[ProductID],168)))),"",INDEX(tblTrans[Date],168)),"")</f>
        <v/>
      </c>
      <c r="B169" t="str">
        <f>IFERROR(IF(OR(INDEX(tblTrans[ProductID],168)="",ISNUMBER(SEARCH("ProductID",INDEX(tblTrans[ProductID],168)))),"",INDEX(tblTrans[ProductID],168)),"")</f>
        <v/>
      </c>
      <c r="C169" t="str">
        <f>IFERROR(IF(OR(INDEX(tblTrans[ProductID],168)="",ISNUMBER(SEARCH("ProductID",INDEX(tblTrans[ProductID],168)))),"",INDEX(tblTrans[Location],168)),"")</f>
        <v/>
      </c>
      <c r="D169" t="str">
        <f>IFERROR(IF(OR(INDEX(tblTrans[ProductID],168)="",ISNUMBER(SEARCH("ProductID",INDEX(tblTrans[ProductID],168)))),"",INDEX(tblTrans[Quantity],168)),"")</f>
        <v/>
      </c>
      <c r="E169" t="str">
        <f>IFERROR(IF(OR(INDEX(tblTrans[ProductID],168)="",ISNUMBER(SEARCH("ProductID",INDEX(tblTrans[ProductID],168)))),"",INDEX(tblTrans[Type],168)),"")</f>
        <v/>
      </c>
      <c r="F169" t="str">
        <f>IFERROR(IF(OR(INDEX(tblTrans[ProductID],168)="",ISNUMBER(SEARCH("ProductID",INDEX(tblTrans[ProductID],168)))),"",_xlfn.XLOOKUP(B169,tblProducts[ProductID],tblProducts[ProductName],"")),"")</f>
        <v/>
      </c>
      <c r="G169" t="str">
        <f>IFERROR(IF(OR(INDEX(tblTrans[ProductID],168)="",ISNUMBER(SEARCH("ProductID",INDEX(tblTrans[ProductID],168)))),"",_xlfn.XLOOKUP(B169,tblProducts[ProductID],tblProducts[Category],"")),"")</f>
        <v/>
      </c>
      <c r="H169" t="str">
        <f>IFERROR(IF(OR(INDEX(tblTrans[ProductID],168)="",ISNUMBER(SEARCH("ProductID",INDEX(tblTrans[ProductID],168)))),"",_xlfn.XLOOKUP(B169,tblProducts[ProductID],tblProducts[Supplier],"")),"")</f>
        <v/>
      </c>
      <c r="I169" t="str">
        <f>IFERROR(IF(OR(INDEX(tblTrans[ProductID],168)="",ISNUMBER(SEARCH("ProductID",INDEX(tblTrans[ProductID],168)))),"",D169*_xlfn.XLOOKUP(B169,tblProducts[ProductID],tblProducts[UnitCost],0)),"")</f>
        <v/>
      </c>
    </row>
    <row r="170" spans="1:9" x14ac:dyDescent="0.3">
      <c r="A170" s="5" t="str">
        <f>IFERROR(IF(OR(INDEX(tblTrans[ProductID],169)="",ISNUMBER(SEARCH("ProductID",INDEX(tblTrans[ProductID],169)))),"",INDEX(tblTrans[Date],169)),"")</f>
        <v/>
      </c>
      <c r="B170" t="str">
        <f>IFERROR(IF(OR(INDEX(tblTrans[ProductID],169)="",ISNUMBER(SEARCH("ProductID",INDEX(tblTrans[ProductID],169)))),"",INDEX(tblTrans[ProductID],169)),"")</f>
        <v/>
      </c>
      <c r="C170" t="str">
        <f>IFERROR(IF(OR(INDEX(tblTrans[ProductID],169)="",ISNUMBER(SEARCH("ProductID",INDEX(tblTrans[ProductID],169)))),"",INDEX(tblTrans[Location],169)),"")</f>
        <v/>
      </c>
      <c r="D170" t="str">
        <f>IFERROR(IF(OR(INDEX(tblTrans[ProductID],169)="",ISNUMBER(SEARCH("ProductID",INDEX(tblTrans[ProductID],169)))),"",INDEX(tblTrans[Quantity],169)),"")</f>
        <v/>
      </c>
      <c r="E170" t="str">
        <f>IFERROR(IF(OR(INDEX(tblTrans[ProductID],169)="",ISNUMBER(SEARCH("ProductID",INDEX(tblTrans[ProductID],169)))),"",INDEX(tblTrans[Type],169)),"")</f>
        <v/>
      </c>
      <c r="F170" t="str">
        <f>IFERROR(IF(OR(INDEX(tblTrans[ProductID],169)="",ISNUMBER(SEARCH("ProductID",INDEX(tblTrans[ProductID],169)))),"",_xlfn.XLOOKUP(B170,tblProducts[ProductID],tblProducts[ProductName],"")),"")</f>
        <v/>
      </c>
      <c r="G170" t="str">
        <f>IFERROR(IF(OR(INDEX(tblTrans[ProductID],169)="",ISNUMBER(SEARCH("ProductID",INDEX(tblTrans[ProductID],169)))),"",_xlfn.XLOOKUP(B170,tblProducts[ProductID],tblProducts[Category],"")),"")</f>
        <v/>
      </c>
      <c r="H170" t="str">
        <f>IFERROR(IF(OR(INDEX(tblTrans[ProductID],169)="",ISNUMBER(SEARCH("ProductID",INDEX(tblTrans[ProductID],169)))),"",_xlfn.XLOOKUP(B170,tblProducts[ProductID],tblProducts[Supplier],"")),"")</f>
        <v/>
      </c>
      <c r="I170" t="str">
        <f>IFERROR(IF(OR(INDEX(tblTrans[ProductID],169)="",ISNUMBER(SEARCH("ProductID",INDEX(tblTrans[ProductID],169)))),"",D170*_xlfn.XLOOKUP(B170,tblProducts[ProductID],tblProducts[UnitCost],0)),"")</f>
        <v/>
      </c>
    </row>
    <row r="171" spans="1:9" x14ac:dyDescent="0.3">
      <c r="A171" s="5" t="str">
        <f>IFERROR(IF(OR(INDEX(tblTrans[ProductID],170)="",ISNUMBER(SEARCH("ProductID",INDEX(tblTrans[ProductID],170)))),"",INDEX(tblTrans[Date],170)),"")</f>
        <v/>
      </c>
      <c r="B171" t="str">
        <f>IFERROR(IF(OR(INDEX(tblTrans[ProductID],170)="",ISNUMBER(SEARCH("ProductID",INDEX(tblTrans[ProductID],170)))),"",INDEX(tblTrans[ProductID],170)),"")</f>
        <v/>
      </c>
      <c r="C171" t="str">
        <f>IFERROR(IF(OR(INDEX(tblTrans[ProductID],170)="",ISNUMBER(SEARCH("ProductID",INDEX(tblTrans[ProductID],170)))),"",INDEX(tblTrans[Location],170)),"")</f>
        <v/>
      </c>
      <c r="D171" t="str">
        <f>IFERROR(IF(OR(INDEX(tblTrans[ProductID],170)="",ISNUMBER(SEARCH("ProductID",INDEX(tblTrans[ProductID],170)))),"",INDEX(tblTrans[Quantity],170)),"")</f>
        <v/>
      </c>
      <c r="E171" t="str">
        <f>IFERROR(IF(OR(INDEX(tblTrans[ProductID],170)="",ISNUMBER(SEARCH("ProductID",INDEX(tblTrans[ProductID],170)))),"",INDEX(tblTrans[Type],170)),"")</f>
        <v/>
      </c>
      <c r="F171" t="str">
        <f>IFERROR(IF(OR(INDEX(tblTrans[ProductID],170)="",ISNUMBER(SEARCH("ProductID",INDEX(tblTrans[ProductID],170)))),"",_xlfn.XLOOKUP(B171,tblProducts[ProductID],tblProducts[ProductName],"")),"")</f>
        <v/>
      </c>
      <c r="G171" t="str">
        <f>IFERROR(IF(OR(INDEX(tblTrans[ProductID],170)="",ISNUMBER(SEARCH("ProductID",INDEX(tblTrans[ProductID],170)))),"",_xlfn.XLOOKUP(B171,tblProducts[ProductID],tblProducts[Category],"")),"")</f>
        <v/>
      </c>
      <c r="H171" t="str">
        <f>IFERROR(IF(OR(INDEX(tblTrans[ProductID],170)="",ISNUMBER(SEARCH("ProductID",INDEX(tblTrans[ProductID],170)))),"",_xlfn.XLOOKUP(B171,tblProducts[ProductID],tblProducts[Supplier],"")),"")</f>
        <v/>
      </c>
      <c r="I171" t="str">
        <f>IFERROR(IF(OR(INDEX(tblTrans[ProductID],170)="",ISNUMBER(SEARCH("ProductID",INDEX(tblTrans[ProductID],170)))),"",D171*_xlfn.XLOOKUP(B171,tblProducts[ProductID],tblProducts[UnitCost],0)),"")</f>
        <v/>
      </c>
    </row>
    <row r="172" spans="1:9" x14ac:dyDescent="0.3">
      <c r="A172" s="5" t="str">
        <f>IFERROR(IF(OR(INDEX(tblTrans[ProductID],171)="",ISNUMBER(SEARCH("ProductID",INDEX(tblTrans[ProductID],171)))),"",INDEX(tblTrans[Date],171)),"")</f>
        <v/>
      </c>
      <c r="B172" t="str">
        <f>IFERROR(IF(OR(INDEX(tblTrans[ProductID],171)="",ISNUMBER(SEARCH("ProductID",INDEX(tblTrans[ProductID],171)))),"",INDEX(tblTrans[ProductID],171)),"")</f>
        <v/>
      </c>
      <c r="C172" t="str">
        <f>IFERROR(IF(OR(INDEX(tblTrans[ProductID],171)="",ISNUMBER(SEARCH("ProductID",INDEX(tblTrans[ProductID],171)))),"",INDEX(tblTrans[Location],171)),"")</f>
        <v/>
      </c>
      <c r="D172" t="str">
        <f>IFERROR(IF(OR(INDEX(tblTrans[ProductID],171)="",ISNUMBER(SEARCH("ProductID",INDEX(tblTrans[ProductID],171)))),"",INDEX(tblTrans[Quantity],171)),"")</f>
        <v/>
      </c>
      <c r="E172" t="str">
        <f>IFERROR(IF(OR(INDEX(tblTrans[ProductID],171)="",ISNUMBER(SEARCH("ProductID",INDEX(tblTrans[ProductID],171)))),"",INDEX(tblTrans[Type],171)),"")</f>
        <v/>
      </c>
      <c r="F172" t="str">
        <f>IFERROR(IF(OR(INDEX(tblTrans[ProductID],171)="",ISNUMBER(SEARCH("ProductID",INDEX(tblTrans[ProductID],171)))),"",_xlfn.XLOOKUP(B172,tblProducts[ProductID],tblProducts[ProductName],"")),"")</f>
        <v/>
      </c>
      <c r="G172" t="str">
        <f>IFERROR(IF(OR(INDEX(tblTrans[ProductID],171)="",ISNUMBER(SEARCH("ProductID",INDEX(tblTrans[ProductID],171)))),"",_xlfn.XLOOKUP(B172,tblProducts[ProductID],tblProducts[Category],"")),"")</f>
        <v/>
      </c>
      <c r="H172" t="str">
        <f>IFERROR(IF(OR(INDEX(tblTrans[ProductID],171)="",ISNUMBER(SEARCH("ProductID",INDEX(tblTrans[ProductID],171)))),"",_xlfn.XLOOKUP(B172,tblProducts[ProductID],tblProducts[Supplier],"")),"")</f>
        <v/>
      </c>
      <c r="I172" t="str">
        <f>IFERROR(IF(OR(INDEX(tblTrans[ProductID],171)="",ISNUMBER(SEARCH("ProductID",INDEX(tblTrans[ProductID],171)))),"",D172*_xlfn.XLOOKUP(B172,tblProducts[ProductID],tblProducts[UnitCost],0)),"")</f>
        <v/>
      </c>
    </row>
    <row r="173" spans="1:9" x14ac:dyDescent="0.3">
      <c r="A173" s="5" t="str">
        <f>IFERROR(IF(OR(INDEX(tblTrans[ProductID],172)="",ISNUMBER(SEARCH("ProductID",INDEX(tblTrans[ProductID],172)))),"",INDEX(tblTrans[Date],172)),"")</f>
        <v/>
      </c>
      <c r="B173" t="str">
        <f>IFERROR(IF(OR(INDEX(tblTrans[ProductID],172)="",ISNUMBER(SEARCH("ProductID",INDEX(tblTrans[ProductID],172)))),"",INDEX(tblTrans[ProductID],172)),"")</f>
        <v/>
      </c>
      <c r="C173" t="str">
        <f>IFERROR(IF(OR(INDEX(tblTrans[ProductID],172)="",ISNUMBER(SEARCH("ProductID",INDEX(tblTrans[ProductID],172)))),"",INDEX(tblTrans[Location],172)),"")</f>
        <v/>
      </c>
      <c r="D173" t="str">
        <f>IFERROR(IF(OR(INDEX(tblTrans[ProductID],172)="",ISNUMBER(SEARCH("ProductID",INDEX(tblTrans[ProductID],172)))),"",INDEX(tblTrans[Quantity],172)),"")</f>
        <v/>
      </c>
      <c r="E173" t="str">
        <f>IFERROR(IF(OR(INDEX(tblTrans[ProductID],172)="",ISNUMBER(SEARCH("ProductID",INDEX(tblTrans[ProductID],172)))),"",INDEX(tblTrans[Type],172)),"")</f>
        <v/>
      </c>
      <c r="F173" t="str">
        <f>IFERROR(IF(OR(INDEX(tblTrans[ProductID],172)="",ISNUMBER(SEARCH("ProductID",INDEX(tblTrans[ProductID],172)))),"",_xlfn.XLOOKUP(B173,tblProducts[ProductID],tblProducts[ProductName],"")),"")</f>
        <v/>
      </c>
      <c r="G173" t="str">
        <f>IFERROR(IF(OR(INDEX(tblTrans[ProductID],172)="",ISNUMBER(SEARCH("ProductID",INDEX(tblTrans[ProductID],172)))),"",_xlfn.XLOOKUP(B173,tblProducts[ProductID],tblProducts[Category],"")),"")</f>
        <v/>
      </c>
      <c r="H173" t="str">
        <f>IFERROR(IF(OR(INDEX(tblTrans[ProductID],172)="",ISNUMBER(SEARCH("ProductID",INDEX(tblTrans[ProductID],172)))),"",_xlfn.XLOOKUP(B173,tblProducts[ProductID],tblProducts[Supplier],"")),"")</f>
        <v/>
      </c>
      <c r="I173" t="str">
        <f>IFERROR(IF(OR(INDEX(tblTrans[ProductID],172)="",ISNUMBER(SEARCH("ProductID",INDEX(tblTrans[ProductID],172)))),"",D173*_xlfn.XLOOKUP(B173,tblProducts[ProductID],tblProducts[UnitCost],0)),"")</f>
        <v/>
      </c>
    </row>
    <row r="174" spans="1:9" x14ac:dyDescent="0.3">
      <c r="A174" s="5" t="str">
        <f>IFERROR(IF(OR(INDEX(tblTrans[ProductID],173)="",ISNUMBER(SEARCH("ProductID",INDEX(tblTrans[ProductID],173)))),"",INDEX(tblTrans[Date],173)),"")</f>
        <v/>
      </c>
      <c r="B174" t="str">
        <f>IFERROR(IF(OR(INDEX(tblTrans[ProductID],173)="",ISNUMBER(SEARCH("ProductID",INDEX(tblTrans[ProductID],173)))),"",INDEX(tblTrans[ProductID],173)),"")</f>
        <v/>
      </c>
      <c r="C174" t="str">
        <f>IFERROR(IF(OR(INDEX(tblTrans[ProductID],173)="",ISNUMBER(SEARCH("ProductID",INDEX(tblTrans[ProductID],173)))),"",INDEX(tblTrans[Location],173)),"")</f>
        <v/>
      </c>
      <c r="D174" t="str">
        <f>IFERROR(IF(OR(INDEX(tblTrans[ProductID],173)="",ISNUMBER(SEARCH("ProductID",INDEX(tblTrans[ProductID],173)))),"",INDEX(tblTrans[Quantity],173)),"")</f>
        <v/>
      </c>
      <c r="E174" t="str">
        <f>IFERROR(IF(OR(INDEX(tblTrans[ProductID],173)="",ISNUMBER(SEARCH("ProductID",INDEX(tblTrans[ProductID],173)))),"",INDEX(tblTrans[Type],173)),"")</f>
        <v/>
      </c>
      <c r="F174" t="str">
        <f>IFERROR(IF(OR(INDEX(tblTrans[ProductID],173)="",ISNUMBER(SEARCH("ProductID",INDEX(tblTrans[ProductID],173)))),"",_xlfn.XLOOKUP(B174,tblProducts[ProductID],tblProducts[ProductName],"")),"")</f>
        <v/>
      </c>
      <c r="G174" t="str">
        <f>IFERROR(IF(OR(INDEX(tblTrans[ProductID],173)="",ISNUMBER(SEARCH("ProductID",INDEX(tblTrans[ProductID],173)))),"",_xlfn.XLOOKUP(B174,tblProducts[ProductID],tblProducts[Category],"")),"")</f>
        <v/>
      </c>
      <c r="H174" t="str">
        <f>IFERROR(IF(OR(INDEX(tblTrans[ProductID],173)="",ISNUMBER(SEARCH("ProductID",INDEX(tblTrans[ProductID],173)))),"",_xlfn.XLOOKUP(B174,tblProducts[ProductID],tblProducts[Supplier],"")),"")</f>
        <v/>
      </c>
      <c r="I174" t="str">
        <f>IFERROR(IF(OR(INDEX(tblTrans[ProductID],173)="",ISNUMBER(SEARCH("ProductID",INDEX(tblTrans[ProductID],173)))),"",D174*_xlfn.XLOOKUP(B174,tblProducts[ProductID],tblProducts[UnitCost],0)),"")</f>
        <v/>
      </c>
    </row>
    <row r="175" spans="1:9" x14ac:dyDescent="0.3">
      <c r="A175" s="5" t="str">
        <f>IFERROR(IF(OR(INDEX(tblTrans[ProductID],174)="",ISNUMBER(SEARCH("ProductID",INDEX(tblTrans[ProductID],174)))),"",INDEX(tblTrans[Date],174)),"")</f>
        <v/>
      </c>
      <c r="B175" t="str">
        <f>IFERROR(IF(OR(INDEX(tblTrans[ProductID],174)="",ISNUMBER(SEARCH("ProductID",INDEX(tblTrans[ProductID],174)))),"",INDEX(tblTrans[ProductID],174)),"")</f>
        <v/>
      </c>
      <c r="C175" t="str">
        <f>IFERROR(IF(OR(INDEX(tblTrans[ProductID],174)="",ISNUMBER(SEARCH("ProductID",INDEX(tblTrans[ProductID],174)))),"",INDEX(tblTrans[Location],174)),"")</f>
        <v/>
      </c>
      <c r="D175" t="str">
        <f>IFERROR(IF(OR(INDEX(tblTrans[ProductID],174)="",ISNUMBER(SEARCH("ProductID",INDEX(tblTrans[ProductID],174)))),"",INDEX(tblTrans[Quantity],174)),"")</f>
        <v/>
      </c>
      <c r="E175" t="str">
        <f>IFERROR(IF(OR(INDEX(tblTrans[ProductID],174)="",ISNUMBER(SEARCH("ProductID",INDEX(tblTrans[ProductID],174)))),"",INDEX(tblTrans[Type],174)),"")</f>
        <v/>
      </c>
      <c r="F175" t="str">
        <f>IFERROR(IF(OR(INDEX(tblTrans[ProductID],174)="",ISNUMBER(SEARCH("ProductID",INDEX(tblTrans[ProductID],174)))),"",_xlfn.XLOOKUP(B175,tblProducts[ProductID],tblProducts[ProductName],"")),"")</f>
        <v/>
      </c>
      <c r="G175" t="str">
        <f>IFERROR(IF(OR(INDEX(tblTrans[ProductID],174)="",ISNUMBER(SEARCH("ProductID",INDEX(tblTrans[ProductID],174)))),"",_xlfn.XLOOKUP(B175,tblProducts[ProductID],tblProducts[Category],"")),"")</f>
        <v/>
      </c>
      <c r="H175" t="str">
        <f>IFERROR(IF(OR(INDEX(tblTrans[ProductID],174)="",ISNUMBER(SEARCH("ProductID",INDEX(tblTrans[ProductID],174)))),"",_xlfn.XLOOKUP(B175,tblProducts[ProductID],tblProducts[Supplier],"")),"")</f>
        <v/>
      </c>
      <c r="I175" t="str">
        <f>IFERROR(IF(OR(INDEX(tblTrans[ProductID],174)="",ISNUMBER(SEARCH("ProductID",INDEX(tblTrans[ProductID],174)))),"",D175*_xlfn.XLOOKUP(B175,tblProducts[ProductID],tblProducts[UnitCost],0)),"")</f>
        <v/>
      </c>
    </row>
    <row r="176" spans="1:9" x14ac:dyDescent="0.3">
      <c r="A176" s="5" t="str">
        <f>IFERROR(IF(OR(INDEX(tblTrans[ProductID],175)="",ISNUMBER(SEARCH("ProductID",INDEX(tblTrans[ProductID],175)))),"",INDEX(tblTrans[Date],175)),"")</f>
        <v/>
      </c>
      <c r="B176" t="str">
        <f>IFERROR(IF(OR(INDEX(tblTrans[ProductID],175)="",ISNUMBER(SEARCH("ProductID",INDEX(tblTrans[ProductID],175)))),"",INDEX(tblTrans[ProductID],175)),"")</f>
        <v/>
      </c>
      <c r="C176" t="str">
        <f>IFERROR(IF(OR(INDEX(tblTrans[ProductID],175)="",ISNUMBER(SEARCH("ProductID",INDEX(tblTrans[ProductID],175)))),"",INDEX(tblTrans[Location],175)),"")</f>
        <v/>
      </c>
      <c r="D176" t="str">
        <f>IFERROR(IF(OR(INDEX(tblTrans[ProductID],175)="",ISNUMBER(SEARCH("ProductID",INDEX(tblTrans[ProductID],175)))),"",INDEX(tblTrans[Quantity],175)),"")</f>
        <v/>
      </c>
      <c r="E176" t="str">
        <f>IFERROR(IF(OR(INDEX(tblTrans[ProductID],175)="",ISNUMBER(SEARCH("ProductID",INDEX(tblTrans[ProductID],175)))),"",INDEX(tblTrans[Type],175)),"")</f>
        <v/>
      </c>
      <c r="F176" t="str">
        <f>IFERROR(IF(OR(INDEX(tblTrans[ProductID],175)="",ISNUMBER(SEARCH("ProductID",INDEX(tblTrans[ProductID],175)))),"",_xlfn.XLOOKUP(B176,tblProducts[ProductID],tblProducts[ProductName],"")),"")</f>
        <v/>
      </c>
      <c r="G176" t="str">
        <f>IFERROR(IF(OR(INDEX(tblTrans[ProductID],175)="",ISNUMBER(SEARCH("ProductID",INDEX(tblTrans[ProductID],175)))),"",_xlfn.XLOOKUP(B176,tblProducts[ProductID],tblProducts[Category],"")),"")</f>
        <v/>
      </c>
      <c r="H176" t="str">
        <f>IFERROR(IF(OR(INDEX(tblTrans[ProductID],175)="",ISNUMBER(SEARCH("ProductID",INDEX(tblTrans[ProductID],175)))),"",_xlfn.XLOOKUP(B176,tblProducts[ProductID],tblProducts[Supplier],"")),"")</f>
        <v/>
      </c>
      <c r="I176" t="str">
        <f>IFERROR(IF(OR(INDEX(tblTrans[ProductID],175)="",ISNUMBER(SEARCH("ProductID",INDEX(tblTrans[ProductID],175)))),"",D176*_xlfn.XLOOKUP(B176,tblProducts[ProductID],tblProducts[UnitCost],0)),"")</f>
        <v/>
      </c>
    </row>
    <row r="177" spans="1:9" x14ac:dyDescent="0.3">
      <c r="A177" s="5" t="str">
        <f>IFERROR(IF(OR(INDEX(tblTrans[ProductID],176)="",ISNUMBER(SEARCH("ProductID",INDEX(tblTrans[ProductID],176)))),"",INDEX(tblTrans[Date],176)),"")</f>
        <v/>
      </c>
      <c r="B177" t="str">
        <f>IFERROR(IF(OR(INDEX(tblTrans[ProductID],176)="",ISNUMBER(SEARCH("ProductID",INDEX(tblTrans[ProductID],176)))),"",INDEX(tblTrans[ProductID],176)),"")</f>
        <v/>
      </c>
      <c r="C177" t="str">
        <f>IFERROR(IF(OR(INDEX(tblTrans[ProductID],176)="",ISNUMBER(SEARCH("ProductID",INDEX(tblTrans[ProductID],176)))),"",INDEX(tblTrans[Location],176)),"")</f>
        <v/>
      </c>
      <c r="D177" t="str">
        <f>IFERROR(IF(OR(INDEX(tblTrans[ProductID],176)="",ISNUMBER(SEARCH("ProductID",INDEX(tblTrans[ProductID],176)))),"",INDEX(tblTrans[Quantity],176)),"")</f>
        <v/>
      </c>
      <c r="E177" t="str">
        <f>IFERROR(IF(OR(INDEX(tblTrans[ProductID],176)="",ISNUMBER(SEARCH("ProductID",INDEX(tblTrans[ProductID],176)))),"",INDEX(tblTrans[Type],176)),"")</f>
        <v/>
      </c>
      <c r="F177" t="str">
        <f>IFERROR(IF(OR(INDEX(tblTrans[ProductID],176)="",ISNUMBER(SEARCH("ProductID",INDEX(tblTrans[ProductID],176)))),"",_xlfn.XLOOKUP(B177,tblProducts[ProductID],tblProducts[ProductName],"")),"")</f>
        <v/>
      </c>
      <c r="G177" t="str">
        <f>IFERROR(IF(OR(INDEX(tblTrans[ProductID],176)="",ISNUMBER(SEARCH("ProductID",INDEX(tblTrans[ProductID],176)))),"",_xlfn.XLOOKUP(B177,tblProducts[ProductID],tblProducts[Category],"")),"")</f>
        <v/>
      </c>
      <c r="H177" t="str">
        <f>IFERROR(IF(OR(INDEX(tblTrans[ProductID],176)="",ISNUMBER(SEARCH("ProductID",INDEX(tblTrans[ProductID],176)))),"",_xlfn.XLOOKUP(B177,tblProducts[ProductID],tblProducts[Supplier],"")),"")</f>
        <v/>
      </c>
      <c r="I177" t="str">
        <f>IFERROR(IF(OR(INDEX(tblTrans[ProductID],176)="",ISNUMBER(SEARCH("ProductID",INDEX(tblTrans[ProductID],176)))),"",D177*_xlfn.XLOOKUP(B177,tblProducts[ProductID],tblProducts[UnitCost],0)),"")</f>
        <v/>
      </c>
    </row>
    <row r="178" spans="1:9" x14ac:dyDescent="0.3">
      <c r="A178" s="5" t="str">
        <f>IFERROR(IF(OR(INDEX(tblTrans[ProductID],177)="",ISNUMBER(SEARCH("ProductID",INDEX(tblTrans[ProductID],177)))),"",INDEX(tblTrans[Date],177)),"")</f>
        <v/>
      </c>
      <c r="B178" t="str">
        <f>IFERROR(IF(OR(INDEX(tblTrans[ProductID],177)="",ISNUMBER(SEARCH("ProductID",INDEX(tblTrans[ProductID],177)))),"",INDEX(tblTrans[ProductID],177)),"")</f>
        <v/>
      </c>
      <c r="C178" t="str">
        <f>IFERROR(IF(OR(INDEX(tblTrans[ProductID],177)="",ISNUMBER(SEARCH("ProductID",INDEX(tblTrans[ProductID],177)))),"",INDEX(tblTrans[Location],177)),"")</f>
        <v/>
      </c>
      <c r="D178" t="str">
        <f>IFERROR(IF(OR(INDEX(tblTrans[ProductID],177)="",ISNUMBER(SEARCH("ProductID",INDEX(tblTrans[ProductID],177)))),"",INDEX(tblTrans[Quantity],177)),"")</f>
        <v/>
      </c>
      <c r="E178" t="str">
        <f>IFERROR(IF(OR(INDEX(tblTrans[ProductID],177)="",ISNUMBER(SEARCH("ProductID",INDEX(tblTrans[ProductID],177)))),"",INDEX(tblTrans[Type],177)),"")</f>
        <v/>
      </c>
      <c r="F178" t="str">
        <f>IFERROR(IF(OR(INDEX(tblTrans[ProductID],177)="",ISNUMBER(SEARCH("ProductID",INDEX(tblTrans[ProductID],177)))),"",_xlfn.XLOOKUP(B178,tblProducts[ProductID],tblProducts[ProductName],"")),"")</f>
        <v/>
      </c>
      <c r="G178" t="str">
        <f>IFERROR(IF(OR(INDEX(tblTrans[ProductID],177)="",ISNUMBER(SEARCH("ProductID",INDEX(tblTrans[ProductID],177)))),"",_xlfn.XLOOKUP(B178,tblProducts[ProductID],tblProducts[Category],"")),"")</f>
        <v/>
      </c>
      <c r="H178" t="str">
        <f>IFERROR(IF(OR(INDEX(tblTrans[ProductID],177)="",ISNUMBER(SEARCH("ProductID",INDEX(tblTrans[ProductID],177)))),"",_xlfn.XLOOKUP(B178,tblProducts[ProductID],tblProducts[Supplier],"")),"")</f>
        <v/>
      </c>
      <c r="I178" t="str">
        <f>IFERROR(IF(OR(INDEX(tblTrans[ProductID],177)="",ISNUMBER(SEARCH("ProductID",INDEX(tblTrans[ProductID],177)))),"",D178*_xlfn.XLOOKUP(B178,tblProducts[ProductID],tblProducts[UnitCost],0)),"")</f>
        <v/>
      </c>
    </row>
    <row r="179" spans="1:9" x14ac:dyDescent="0.3">
      <c r="A179" s="5" t="str">
        <f>IFERROR(IF(OR(INDEX(tblTrans[ProductID],178)="",ISNUMBER(SEARCH("ProductID",INDEX(tblTrans[ProductID],178)))),"",INDEX(tblTrans[Date],178)),"")</f>
        <v/>
      </c>
      <c r="B179" t="str">
        <f>IFERROR(IF(OR(INDEX(tblTrans[ProductID],178)="",ISNUMBER(SEARCH("ProductID",INDEX(tblTrans[ProductID],178)))),"",INDEX(tblTrans[ProductID],178)),"")</f>
        <v/>
      </c>
      <c r="C179" t="str">
        <f>IFERROR(IF(OR(INDEX(tblTrans[ProductID],178)="",ISNUMBER(SEARCH("ProductID",INDEX(tblTrans[ProductID],178)))),"",INDEX(tblTrans[Location],178)),"")</f>
        <v/>
      </c>
      <c r="D179" t="str">
        <f>IFERROR(IF(OR(INDEX(tblTrans[ProductID],178)="",ISNUMBER(SEARCH("ProductID",INDEX(tblTrans[ProductID],178)))),"",INDEX(tblTrans[Quantity],178)),"")</f>
        <v/>
      </c>
      <c r="E179" t="str">
        <f>IFERROR(IF(OR(INDEX(tblTrans[ProductID],178)="",ISNUMBER(SEARCH("ProductID",INDEX(tblTrans[ProductID],178)))),"",INDEX(tblTrans[Type],178)),"")</f>
        <v/>
      </c>
      <c r="F179" t="str">
        <f>IFERROR(IF(OR(INDEX(tblTrans[ProductID],178)="",ISNUMBER(SEARCH("ProductID",INDEX(tblTrans[ProductID],178)))),"",_xlfn.XLOOKUP(B179,tblProducts[ProductID],tblProducts[ProductName],"")),"")</f>
        <v/>
      </c>
      <c r="G179" t="str">
        <f>IFERROR(IF(OR(INDEX(tblTrans[ProductID],178)="",ISNUMBER(SEARCH("ProductID",INDEX(tblTrans[ProductID],178)))),"",_xlfn.XLOOKUP(B179,tblProducts[ProductID],tblProducts[Category],"")),"")</f>
        <v/>
      </c>
      <c r="H179" t="str">
        <f>IFERROR(IF(OR(INDEX(tblTrans[ProductID],178)="",ISNUMBER(SEARCH("ProductID",INDEX(tblTrans[ProductID],178)))),"",_xlfn.XLOOKUP(B179,tblProducts[ProductID],tblProducts[Supplier],"")),"")</f>
        <v/>
      </c>
      <c r="I179" t="str">
        <f>IFERROR(IF(OR(INDEX(tblTrans[ProductID],178)="",ISNUMBER(SEARCH("ProductID",INDEX(tblTrans[ProductID],178)))),"",D179*_xlfn.XLOOKUP(B179,tblProducts[ProductID],tblProducts[UnitCost],0)),"")</f>
        <v/>
      </c>
    </row>
    <row r="180" spans="1:9" x14ac:dyDescent="0.3">
      <c r="A180" s="5" t="str">
        <f>IFERROR(IF(OR(INDEX(tblTrans[ProductID],179)="",ISNUMBER(SEARCH("ProductID",INDEX(tblTrans[ProductID],179)))),"",INDEX(tblTrans[Date],179)),"")</f>
        <v/>
      </c>
      <c r="B180" t="str">
        <f>IFERROR(IF(OR(INDEX(tblTrans[ProductID],179)="",ISNUMBER(SEARCH("ProductID",INDEX(tblTrans[ProductID],179)))),"",INDEX(tblTrans[ProductID],179)),"")</f>
        <v/>
      </c>
      <c r="C180" t="str">
        <f>IFERROR(IF(OR(INDEX(tblTrans[ProductID],179)="",ISNUMBER(SEARCH("ProductID",INDEX(tblTrans[ProductID],179)))),"",INDEX(tblTrans[Location],179)),"")</f>
        <v/>
      </c>
      <c r="D180" t="str">
        <f>IFERROR(IF(OR(INDEX(tblTrans[ProductID],179)="",ISNUMBER(SEARCH("ProductID",INDEX(tblTrans[ProductID],179)))),"",INDEX(tblTrans[Quantity],179)),"")</f>
        <v/>
      </c>
      <c r="E180" t="str">
        <f>IFERROR(IF(OR(INDEX(tblTrans[ProductID],179)="",ISNUMBER(SEARCH("ProductID",INDEX(tblTrans[ProductID],179)))),"",INDEX(tblTrans[Type],179)),"")</f>
        <v/>
      </c>
      <c r="F180" t="str">
        <f>IFERROR(IF(OR(INDEX(tblTrans[ProductID],179)="",ISNUMBER(SEARCH("ProductID",INDEX(tblTrans[ProductID],179)))),"",_xlfn.XLOOKUP(B180,tblProducts[ProductID],tblProducts[ProductName],"")),"")</f>
        <v/>
      </c>
      <c r="G180" t="str">
        <f>IFERROR(IF(OR(INDEX(tblTrans[ProductID],179)="",ISNUMBER(SEARCH("ProductID",INDEX(tblTrans[ProductID],179)))),"",_xlfn.XLOOKUP(B180,tblProducts[ProductID],tblProducts[Category],"")),"")</f>
        <v/>
      </c>
      <c r="H180" t="str">
        <f>IFERROR(IF(OR(INDEX(tblTrans[ProductID],179)="",ISNUMBER(SEARCH("ProductID",INDEX(tblTrans[ProductID],179)))),"",_xlfn.XLOOKUP(B180,tblProducts[ProductID],tblProducts[Supplier],"")),"")</f>
        <v/>
      </c>
      <c r="I180" t="str">
        <f>IFERROR(IF(OR(INDEX(tblTrans[ProductID],179)="",ISNUMBER(SEARCH("ProductID",INDEX(tblTrans[ProductID],179)))),"",D180*_xlfn.XLOOKUP(B180,tblProducts[ProductID],tblProducts[UnitCost],0)),"")</f>
        <v/>
      </c>
    </row>
    <row r="181" spans="1:9" x14ac:dyDescent="0.3">
      <c r="A181" s="5" t="str">
        <f>IFERROR(IF(OR(INDEX(tblTrans[ProductID],180)="",ISNUMBER(SEARCH("ProductID",INDEX(tblTrans[ProductID],180)))),"",INDEX(tblTrans[Date],180)),"")</f>
        <v/>
      </c>
      <c r="B181" t="str">
        <f>IFERROR(IF(OR(INDEX(tblTrans[ProductID],180)="",ISNUMBER(SEARCH("ProductID",INDEX(tblTrans[ProductID],180)))),"",INDEX(tblTrans[ProductID],180)),"")</f>
        <v/>
      </c>
      <c r="C181" t="str">
        <f>IFERROR(IF(OR(INDEX(tblTrans[ProductID],180)="",ISNUMBER(SEARCH("ProductID",INDEX(tblTrans[ProductID],180)))),"",INDEX(tblTrans[Location],180)),"")</f>
        <v/>
      </c>
      <c r="D181" t="str">
        <f>IFERROR(IF(OR(INDEX(tblTrans[ProductID],180)="",ISNUMBER(SEARCH("ProductID",INDEX(tblTrans[ProductID],180)))),"",INDEX(tblTrans[Quantity],180)),"")</f>
        <v/>
      </c>
      <c r="E181" t="str">
        <f>IFERROR(IF(OR(INDEX(tblTrans[ProductID],180)="",ISNUMBER(SEARCH("ProductID",INDEX(tblTrans[ProductID],180)))),"",INDEX(tblTrans[Type],180)),"")</f>
        <v/>
      </c>
      <c r="F181" t="str">
        <f>IFERROR(IF(OR(INDEX(tblTrans[ProductID],180)="",ISNUMBER(SEARCH("ProductID",INDEX(tblTrans[ProductID],180)))),"",_xlfn.XLOOKUP(B181,tblProducts[ProductID],tblProducts[ProductName],"")),"")</f>
        <v/>
      </c>
      <c r="G181" t="str">
        <f>IFERROR(IF(OR(INDEX(tblTrans[ProductID],180)="",ISNUMBER(SEARCH("ProductID",INDEX(tblTrans[ProductID],180)))),"",_xlfn.XLOOKUP(B181,tblProducts[ProductID],tblProducts[Category],"")),"")</f>
        <v/>
      </c>
      <c r="H181" t="str">
        <f>IFERROR(IF(OR(INDEX(tblTrans[ProductID],180)="",ISNUMBER(SEARCH("ProductID",INDEX(tblTrans[ProductID],180)))),"",_xlfn.XLOOKUP(B181,tblProducts[ProductID],tblProducts[Supplier],"")),"")</f>
        <v/>
      </c>
      <c r="I181" t="str">
        <f>IFERROR(IF(OR(INDEX(tblTrans[ProductID],180)="",ISNUMBER(SEARCH("ProductID",INDEX(tblTrans[ProductID],180)))),"",D181*_xlfn.XLOOKUP(B181,tblProducts[ProductID],tblProducts[UnitCost],0)),"")</f>
        <v/>
      </c>
    </row>
    <row r="182" spans="1:9" x14ac:dyDescent="0.3">
      <c r="A182" s="5" t="str">
        <f>IFERROR(IF(OR(INDEX(tblTrans[ProductID],181)="",ISNUMBER(SEARCH("ProductID",INDEX(tblTrans[ProductID],181)))),"",INDEX(tblTrans[Date],181)),"")</f>
        <v/>
      </c>
      <c r="B182" t="str">
        <f>IFERROR(IF(OR(INDEX(tblTrans[ProductID],181)="",ISNUMBER(SEARCH("ProductID",INDEX(tblTrans[ProductID],181)))),"",INDEX(tblTrans[ProductID],181)),"")</f>
        <v/>
      </c>
      <c r="C182" t="str">
        <f>IFERROR(IF(OR(INDEX(tblTrans[ProductID],181)="",ISNUMBER(SEARCH("ProductID",INDEX(tblTrans[ProductID],181)))),"",INDEX(tblTrans[Location],181)),"")</f>
        <v/>
      </c>
      <c r="D182" t="str">
        <f>IFERROR(IF(OR(INDEX(tblTrans[ProductID],181)="",ISNUMBER(SEARCH("ProductID",INDEX(tblTrans[ProductID],181)))),"",INDEX(tblTrans[Quantity],181)),"")</f>
        <v/>
      </c>
      <c r="E182" t="str">
        <f>IFERROR(IF(OR(INDEX(tblTrans[ProductID],181)="",ISNUMBER(SEARCH("ProductID",INDEX(tblTrans[ProductID],181)))),"",INDEX(tblTrans[Type],181)),"")</f>
        <v/>
      </c>
      <c r="F182" t="str">
        <f>IFERROR(IF(OR(INDEX(tblTrans[ProductID],181)="",ISNUMBER(SEARCH("ProductID",INDEX(tblTrans[ProductID],181)))),"",_xlfn.XLOOKUP(B182,tblProducts[ProductID],tblProducts[ProductName],"")),"")</f>
        <v/>
      </c>
      <c r="G182" t="str">
        <f>IFERROR(IF(OR(INDEX(tblTrans[ProductID],181)="",ISNUMBER(SEARCH("ProductID",INDEX(tblTrans[ProductID],181)))),"",_xlfn.XLOOKUP(B182,tblProducts[ProductID],tblProducts[Category],"")),"")</f>
        <v/>
      </c>
      <c r="H182" t="str">
        <f>IFERROR(IF(OR(INDEX(tblTrans[ProductID],181)="",ISNUMBER(SEARCH("ProductID",INDEX(tblTrans[ProductID],181)))),"",_xlfn.XLOOKUP(B182,tblProducts[ProductID],tblProducts[Supplier],"")),"")</f>
        <v/>
      </c>
      <c r="I182" t="str">
        <f>IFERROR(IF(OR(INDEX(tblTrans[ProductID],181)="",ISNUMBER(SEARCH("ProductID",INDEX(tblTrans[ProductID],181)))),"",D182*_xlfn.XLOOKUP(B182,tblProducts[ProductID],tblProducts[UnitCost],0)),"")</f>
        <v/>
      </c>
    </row>
    <row r="183" spans="1:9" x14ac:dyDescent="0.3">
      <c r="A183" s="5" t="str">
        <f>IFERROR(IF(OR(INDEX(tblTrans[ProductID],182)="",ISNUMBER(SEARCH("ProductID",INDEX(tblTrans[ProductID],182)))),"",INDEX(tblTrans[Date],182)),"")</f>
        <v/>
      </c>
      <c r="B183" t="str">
        <f>IFERROR(IF(OR(INDEX(tblTrans[ProductID],182)="",ISNUMBER(SEARCH("ProductID",INDEX(tblTrans[ProductID],182)))),"",INDEX(tblTrans[ProductID],182)),"")</f>
        <v/>
      </c>
      <c r="C183" t="str">
        <f>IFERROR(IF(OR(INDEX(tblTrans[ProductID],182)="",ISNUMBER(SEARCH("ProductID",INDEX(tblTrans[ProductID],182)))),"",INDEX(tblTrans[Location],182)),"")</f>
        <v/>
      </c>
      <c r="D183" t="str">
        <f>IFERROR(IF(OR(INDEX(tblTrans[ProductID],182)="",ISNUMBER(SEARCH("ProductID",INDEX(tblTrans[ProductID],182)))),"",INDEX(tblTrans[Quantity],182)),"")</f>
        <v/>
      </c>
      <c r="E183" t="str">
        <f>IFERROR(IF(OR(INDEX(tblTrans[ProductID],182)="",ISNUMBER(SEARCH("ProductID",INDEX(tblTrans[ProductID],182)))),"",INDEX(tblTrans[Type],182)),"")</f>
        <v/>
      </c>
      <c r="F183" t="str">
        <f>IFERROR(IF(OR(INDEX(tblTrans[ProductID],182)="",ISNUMBER(SEARCH("ProductID",INDEX(tblTrans[ProductID],182)))),"",_xlfn.XLOOKUP(B183,tblProducts[ProductID],tblProducts[ProductName],"")),"")</f>
        <v/>
      </c>
      <c r="G183" t="str">
        <f>IFERROR(IF(OR(INDEX(tblTrans[ProductID],182)="",ISNUMBER(SEARCH("ProductID",INDEX(tblTrans[ProductID],182)))),"",_xlfn.XLOOKUP(B183,tblProducts[ProductID],tblProducts[Category],"")),"")</f>
        <v/>
      </c>
      <c r="H183" t="str">
        <f>IFERROR(IF(OR(INDEX(tblTrans[ProductID],182)="",ISNUMBER(SEARCH("ProductID",INDEX(tblTrans[ProductID],182)))),"",_xlfn.XLOOKUP(B183,tblProducts[ProductID],tblProducts[Supplier],"")),"")</f>
        <v/>
      </c>
      <c r="I183" t="str">
        <f>IFERROR(IF(OR(INDEX(tblTrans[ProductID],182)="",ISNUMBER(SEARCH("ProductID",INDEX(tblTrans[ProductID],182)))),"",D183*_xlfn.XLOOKUP(B183,tblProducts[ProductID],tblProducts[UnitCost],0)),"")</f>
        <v/>
      </c>
    </row>
    <row r="184" spans="1:9" x14ac:dyDescent="0.3">
      <c r="A184" s="5" t="str">
        <f>IFERROR(IF(OR(INDEX(tblTrans[ProductID],183)="",ISNUMBER(SEARCH("ProductID",INDEX(tblTrans[ProductID],183)))),"",INDEX(tblTrans[Date],183)),"")</f>
        <v/>
      </c>
      <c r="B184" t="str">
        <f>IFERROR(IF(OR(INDEX(tblTrans[ProductID],183)="",ISNUMBER(SEARCH("ProductID",INDEX(tblTrans[ProductID],183)))),"",INDEX(tblTrans[ProductID],183)),"")</f>
        <v/>
      </c>
      <c r="C184" t="str">
        <f>IFERROR(IF(OR(INDEX(tblTrans[ProductID],183)="",ISNUMBER(SEARCH("ProductID",INDEX(tblTrans[ProductID],183)))),"",INDEX(tblTrans[Location],183)),"")</f>
        <v/>
      </c>
      <c r="D184" t="str">
        <f>IFERROR(IF(OR(INDEX(tblTrans[ProductID],183)="",ISNUMBER(SEARCH("ProductID",INDEX(tblTrans[ProductID],183)))),"",INDEX(tblTrans[Quantity],183)),"")</f>
        <v/>
      </c>
      <c r="E184" t="str">
        <f>IFERROR(IF(OR(INDEX(tblTrans[ProductID],183)="",ISNUMBER(SEARCH("ProductID",INDEX(tblTrans[ProductID],183)))),"",INDEX(tblTrans[Type],183)),"")</f>
        <v/>
      </c>
      <c r="F184" t="str">
        <f>IFERROR(IF(OR(INDEX(tblTrans[ProductID],183)="",ISNUMBER(SEARCH("ProductID",INDEX(tblTrans[ProductID],183)))),"",_xlfn.XLOOKUP(B184,tblProducts[ProductID],tblProducts[ProductName],"")),"")</f>
        <v/>
      </c>
      <c r="G184" t="str">
        <f>IFERROR(IF(OR(INDEX(tblTrans[ProductID],183)="",ISNUMBER(SEARCH("ProductID",INDEX(tblTrans[ProductID],183)))),"",_xlfn.XLOOKUP(B184,tblProducts[ProductID],tblProducts[Category],"")),"")</f>
        <v/>
      </c>
      <c r="H184" t="str">
        <f>IFERROR(IF(OR(INDEX(tblTrans[ProductID],183)="",ISNUMBER(SEARCH("ProductID",INDEX(tblTrans[ProductID],183)))),"",_xlfn.XLOOKUP(B184,tblProducts[ProductID],tblProducts[Supplier],"")),"")</f>
        <v/>
      </c>
      <c r="I184" t="str">
        <f>IFERROR(IF(OR(INDEX(tblTrans[ProductID],183)="",ISNUMBER(SEARCH("ProductID",INDEX(tblTrans[ProductID],183)))),"",D184*_xlfn.XLOOKUP(B184,tblProducts[ProductID],tblProducts[UnitCost],0)),"")</f>
        <v/>
      </c>
    </row>
    <row r="185" spans="1:9" x14ac:dyDescent="0.3">
      <c r="A185" s="5" t="str">
        <f>IFERROR(IF(OR(INDEX(tblTrans[ProductID],184)="",ISNUMBER(SEARCH("ProductID",INDEX(tblTrans[ProductID],184)))),"",INDEX(tblTrans[Date],184)),"")</f>
        <v/>
      </c>
      <c r="B185" t="str">
        <f>IFERROR(IF(OR(INDEX(tblTrans[ProductID],184)="",ISNUMBER(SEARCH("ProductID",INDEX(tblTrans[ProductID],184)))),"",INDEX(tblTrans[ProductID],184)),"")</f>
        <v/>
      </c>
      <c r="C185" t="str">
        <f>IFERROR(IF(OR(INDEX(tblTrans[ProductID],184)="",ISNUMBER(SEARCH("ProductID",INDEX(tblTrans[ProductID],184)))),"",INDEX(tblTrans[Location],184)),"")</f>
        <v/>
      </c>
      <c r="D185" t="str">
        <f>IFERROR(IF(OR(INDEX(tblTrans[ProductID],184)="",ISNUMBER(SEARCH("ProductID",INDEX(tblTrans[ProductID],184)))),"",INDEX(tblTrans[Quantity],184)),"")</f>
        <v/>
      </c>
      <c r="E185" t="str">
        <f>IFERROR(IF(OR(INDEX(tblTrans[ProductID],184)="",ISNUMBER(SEARCH("ProductID",INDEX(tblTrans[ProductID],184)))),"",INDEX(tblTrans[Type],184)),"")</f>
        <v/>
      </c>
      <c r="F185" t="str">
        <f>IFERROR(IF(OR(INDEX(tblTrans[ProductID],184)="",ISNUMBER(SEARCH("ProductID",INDEX(tblTrans[ProductID],184)))),"",_xlfn.XLOOKUP(B185,tblProducts[ProductID],tblProducts[ProductName],"")),"")</f>
        <v/>
      </c>
      <c r="G185" t="str">
        <f>IFERROR(IF(OR(INDEX(tblTrans[ProductID],184)="",ISNUMBER(SEARCH("ProductID",INDEX(tblTrans[ProductID],184)))),"",_xlfn.XLOOKUP(B185,tblProducts[ProductID],tblProducts[Category],"")),"")</f>
        <v/>
      </c>
      <c r="H185" t="str">
        <f>IFERROR(IF(OR(INDEX(tblTrans[ProductID],184)="",ISNUMBER(SEARCH("ProductID",INDEX(tblTrans[ProductID],184)))),"",_xlfn.XLOOKUP(B185,tblProducts[ProductID],tblProducts[Supplier],"")),"")</f>
        <v/>
      </c>
      <c r="I185" t="str">
        <f>IFERROR(IF(OR(INDEX(tblTrans[ProductID],184)="",ISNUMBER(SEARCH("ProductID",INDEX(tblTrans[ProductID],184)))),"",D185*_xlfn.XLOOKUP(B185,tblProducts[ProductID],tblProducts[UnitCost],0)),"")</f>
        <v/>
      </c>
    </row>
    <row r="186" spans="1:9" x14ac:dyDescent="0.3">
      <c r="A186" s="5" t="str">
        <f>IFERROR(IF(OR(INDEX(tblTrans[ProductID],185)="",ISNUMBER(SEARCH("ProductID",INDEX(tblTrans[ProductID],185)))),"",INDEX(tblTrans[Date],185)),"")</f>
        <v/>
      </c>
      <c r="B186" t="str">
        <f>IFERROR(IF(OR(INDEX(tblTrans[ProductID],185)="",ISNUMBER(SEARCH("ProductID",INDEX(tblTrans[ProductID],185)))),"",INDEX(tblTrans[ProductID],185)),"")</f>
        <v/>
      </c>
      <c r="C186" t="str">
        <f>IFERROR(IF(OR(INDEX(tblTrans[ProductID],185)="",ISNUMBER(SEARCH("ProductID",INDEX(tblTrans[ProductID],185)))),"",INDEX(tblTrans[Location],185)),"")</f>
        <v/>
      </c>
      <c r="D186" t="str">
        <f>IFERROR(IF(OR(INDEX(tblTrans[ProductID],185)="",ISNUMBER(SEARCH("ProductID",INDEX(tblTrans[ProductID],185)))),"",INDEX(tblTrans[Quantity],185)),"")</f>
        <v/>
      </c>
      <c r="E186" t="str">
        <f>IFERROR(IF(OR(INDEX(tblTrans[ProductID],185)="",ISNUMBER(SEARCH("ProductID",INDEX(tblTrans[ProductID],185)))),"",INDEX(tblTrans[Type],185)),"")</f>
        <v/>
      </c>
      <c r="F186" t="str">
        <f>IFERROR(IF(OR(INDEX(tblTrans[ProductID],185)="",ISNUMBER(SEARCH("ProductID",INDEX(tblTrans[ProductID],185)))),"",_xlfn.XLOOKUP(B186,tblProducts[ProductID],tblProducts[ProductName],"")),"")</f>
        <v/>
      </c>
      <c r="G186" t="str">
        <f>IFERROR(IF(OR(INDEX(tblTrans[ProductID],185)="",ISNUMBER(SEARCH("ProductID",INDEX(tblTrans[ProductID],185)))),"",_xlfn.XLOOKUP(B186,tblProducts[ProductID],tblProducts[Category],"")),"")</f>
        <v/>
      </c>
      <c r="H186" t="str">
        <f>IFERROR(IF(OR(INDEX(tblTrans[ProductID],185)="",ISNUMBER(SEARCH("ProductID",INDEX(tblTrans[ProductID],185)))),"",_xlfn.XLOOKUP(B186,tblProducts[ProductID],tblProducts[Supplier],"")),"")</f>
        <v/>
      </c>
      <c r="I186" t="str">
        <f>IFERROR(IF(OR(INDEX(tblTrans[ProductID],185)="",ISNUMBER(SEARCH("ProductID",INDEX(tblTrans[ProductID],185)))),"",D186*_xlfn.XLOOKUP(B186,tblProducts[ProductID],tblProducts[UnitCost],0)),"")</f>
        <v/>
      </c>
    </row>
    <row r="187" spans="1:9" x14ac:dyDescent="0.3">
      <c r="A187" s="5" t="str">
        <f>IFERROR(IF(OR(INDEX(tblTrans[ProductID],186)="",ISNUMBER(SEARCH("ProductID",INDEX(tblTrans[ProductID],186)))),"",INDEX(tblTrans[Date],186)),"")</f>
        <v/>
      </c>
      <c r="B187" t="str">
        <f>IFERROR(IF(OR(INDEX(tblTrans[ProductID],186)="",ISNUMBER(SEARCH("ProductID",INDEX(tblTrans[ProductID],186)))),"",INDEX(tblTrans[ProductID],186)),"")</f>
        <v/>
      </c>
      <c r="C187" t="str">
        <f>IFERROR(IF(OR(INDEX(tblTrans[ProductID],186)="",ISNUMBER(SEARCH("ProductID",INDEX(tblTrans[ProductID],186)))),"",INDEX(tblTrans[Location],186)),"")</f>
        <v/>
      </c>
      <c r="D187" t="str">
        <f>IFERROR(IF(OR(INDEX(tblTrans[ProductID],186)="",ISNUMBER(SEARCH("ProductID",INDEX(tblTrans[ProductID],186)))),"",INDEX(tblTrans[Quantity],186)),"")</f>
        <v/>
      </c>
      <c r="E187" t="str">
        <f>IFERROR(IF(OR(INDEX(tblTrans[ProductID],186)="",ISNUMBER(SEARCH("ProductID",INDEX(tblTrans[ProductID],186)))),"",INDEX(tblTrans[Type],186)),"")</f>
        <v/>
      </c>
      <c r="F187" t="str">
        <f>IFERROR(IF(OR(INDEX(tblTrans[ProductID],186)="",ISNUMBER(SEARCH("ProductID",INDEX(tblTrans[ProductID],186)))),"",_xlfn.XLOOKUP(B187,tblProducts[ProductID],tblProducts[ProductName],"")),"")</f>
        <v/>
      </c>
      <c r="G187" t="str">
        <f>IFERROR(IF(OR(INDEX(tblTrans[ProductID],186)="",ISNUMBER(SEARCH("ProductID",INDEX(tblTrans[ProductID],186)))),"",_xlfn.XLOOKUP(B187,tblProducts[ProductID],tblProducts[Category],"")),"")</f>
        <v/>
      </c>
      <c r="H187" t="str">
        <f>IFERROR(IF(OR(INDEX(tblTrans[ProductID],186)="",ISNUMBER(SEARCH("ProductID",INDEX(tblTrans[ProductID],186)))),"",_xlfn.XLOOKUP(B187,tblProducts[ProductID],tblProducts[Supplier],"")),"")</f>
        <v/>
      </c>
      <c r="I187" t="str">
        <f>IFERROR(IF(OR(INDEX(tblTrans[ProductID],186)="",ISNUMBER(SEARCH("ProductID",INDEX(tblTrans[ProductID],186)))),"",D187*_xlfn.XLOOKUP(B187,tblProducts[ProductID],tblProducts[UnitCost],0)),"")</f>
        <v/>
      </c>
    </row>
    <row r="188" spans="1:9" x14ac:dyDescent="0.3">
      <c r="A188" s="5" t="str">
        <f>IFERROR(IF(OR(INDEX(tblTrans[ProductID],187)="",ISNUMBER(SEARCH("ProductID",INDEX(tblTrans[ProductID],187)))),"",INDEX(tblTrans[Date],187)),"")</f>
        <v/>
      </c>
      <c r="B188" t="str">
        <f>IFERROR(IF(OR(INDEX(tblTrans[ProductID],187)="",ISNUMBER(SEARCH("ProductID",INDEX(tblTrans[ProductID],187)))),"",INDEX(tblTrans[ProductID],187)),"")</f>
        <v/>
      </c>
      <c r="C188" t="str">
        <f>IFERROR(IF(OR(INDEX(tblTrans[ProductID],187)="",ISNUMBER(SEARCH("ProductID",INDEX(tblTrans[ProductID],187)))),"",INDEX(tblTrans[Location],187)),"")</f>
        <v/>
      </c>
      <c r="D188" t="str">
        <f>IFERROR(IF(OR(INDEX(tblTrans[ProductID],187)="",ISNUMBER(SEARCH("ProductID",INDEX(tblTrans[ProductID],187)))),"",INDEX(tblTrans[Quantity],187)),"")</f>
        <v/>
      </c>
      <c r="E188" t="str">
        <f>IFERROR(IF(OR(INDEX(tblTrans[ProductID],187)="",ISNUMBER(SEARCH("ProductID",INDEX(tblTrans[ProductID],187)))),"",INDEX(tblTrans[Type],187)),"")</f>
        <v/>
      </c>
      <c r="F188" t="str">
        <f>IFERROR(IF(OR(INDEX(tblTrans[ProductID],187)="",ISNUMBER(SEARCH("ProductID",INDEX(tblTrans[ProductID],187)))),"",_xlfn.XLOOKUP(B188,tblProducts[ProductID],tblProducts[ProductName],"")),"")</f>
        <v/>
      </c>
      <c r="G188" t="str">
        <f>IFERROR(IF(OR(INDEX(tblTrans[ProductID],187)="",ISNUMBER(SEARCH("ProductID",INDEX(tblTrans[ProductID],187)))),"",_xlfn.XLOOKUP(B188,tblProducts[ProductID],tblProducts[Category],"")),"")</f>
        <v/>
      </c>
      <c r="H188" t="str">
        <f>IFERROR(IF(OR(INDEX(tblTrans[ProductID],187)="",ISNUMBER(SEARCH("ProductID",INDEX(tblTrans[ProductID],187)))),"",_xlfn.XLOOKUP(B188,tblProducts[ProductID],tblProducts[Supplier],"")),"")</f>
        <v/>
      </c>
      <c r="I188" t="str">
        <f>IFERROR(IF(OR(INDEX(tblTrans[ProductID],187)="",ISNUMBER(SEARCH("ProductID",INDEX(tblTrans[ProductID],187)))),"",D188*_xlfn.XLOOKUP(B188,tblProducts[ProductID],tblProducts[UnitCost],0)),"")</f>
        <v/>
      </c>
    </row>
    <row r="189" spans="1:9" x14ac:dyDescent="0.3">
      <c r="A189" s="5" t="str">
        <f>IFERROR(IF(OR(INDEX(tblTrans[ProductID],188)="",ISNUMBER(SEARCH("ProductID",INDEX(tblTrans[ProductID],188)))),"",INDEX(tblTrans[Date],188)),"")</f>
        <v/>
      </c>
      <c r="B189" t="str">
        <f>IFERROR(IF(OR(INDEX(tblTrans[ProductID],188)="",ISNUMBER(SEARCH("ProductID",INDEX(tblTrans[ProductID],188)))),"",INDEX(tblTrans[ProductID],188)),"")</f>
        <v/>
      </c>
      <c r="C189" t="str">
        <f>IFERROR(IF(OR(INDEX(tblTrans[ProductID],188)="",ISNUMBER(SEARCH("ProductID",INDEX(tblTrans[ProductID],188)))),"",INDEX(tblTrans[Location],188)),"")</f>
        <v/>
      </c>
      <c r="D189" t="str">
        <f>IFERROR(IF(OR(INDEX(tblTrans[ProductID],188)="",ISNUMBER(SEARCH("ProductID",INDEX(tblTrans[ProductID],188)))),"",INDEX(tblTrans[Quantity],188)),"")</f>
        <v/>
      </c>
      <c r="E189" t="str">
        <f>IFERROR(IF(OR(INDEX(tblTrans[ProductID],188)="",ISNUMBER(SEARCH("ProductID",INDEX(tblTrans[ProductID],188)))),"",INDEX(tblTrans[Type],188)),"")</f>
        <v/>
      </c>
      <c r="F189" t="str">
        <f>IFERROR(IF(OR(INDEX(tblTrans[ProductID],188)="",ISNUMBER(SEARCH("ProductID",INDEX(tblTrans[ProductID],188)))),"",_xlfn.XLOOKUP(B189,tblProducts[ProductID],tblProducts[ProductName],"")),"")</f>
        <v/>
      </c>
      <c r="G189" t="str">
        <f>IFERROR(IF(OR(INDEX(tblTrans[ProductID],188)="",ISNUMBER(SEARCH("ProductID",INDEX(tblTrans[ProductID],188)))),"",_xlfn.XLOOKUP(B189,tblProducts[ProductID],tblProducts[Category],"")),"")</f>
        <v/>
      </c>
      <c r="H189" t="str">
        <f>IFERROR(IF(OR(INDEX(tblTrans[ProductID],188)="",ISNUMBER(SEARCH("ProductID",INDEX(tblTrans[ProductID],188)))),"",_xlfn.XLOOKUP(B189,tblProducts[ProductID],tblProducts[Supplier],"")),"")</f>
        <v/>
      </c>
      <c r="I189" t="str">
        <f>IFERROR(IF(OR(INDEX(tblTrans[ProductID],188)="",ISNUMBER(SEARCH("ProductID",INDEX(tblTrans[ProductID],188)))),"",D189*_xlfn.XLOOKUP(B189,tblProducts[ProductID],tblProducts[UnitCost],0)),"")</f>
        <v/>
      </c>
    </row>
    <row r="190" spans="1:9" x14ac:dyDescent="0.3">
      <c r="A190" s="5" t="str">
        <f>IFERROR(IF(OR(INDEX(tblTrans[ProductID],189)="",ISNUMBER(SEARCH("ProductID",INDEX(tblTrans[ProductID],189)))),"",INDEX(tblTrans[Date],189)),"")</f>
        <v/>
      </c>
      <c r="B190" t="str">
        <f>IFERROR(IF(OR(INDEX(tblTrans[ProductID],189)="",ISNUMBER(SEARCH("ProductID",INDEX(tblTrans[ProductID],189)))),"",INDEX(tblTrans[ProductID],189)),"")</f>
        <v/>
      </c>
      <c r="C190" t="str">
        <f>IFERROR(IF(OR(INDEX(tblTrans[ProductID],189)="",ISNUMBER(SEARCH("ProductID",INDEX(tblTrans[ProductID],189)))),"",INDEX(tblTrans[Location],189)),"")</f>
        <v/>
      </c>
      <c r="D190" t="str">
        <f>IFERROR(IF(OR(INDEX(tblTrans[ProductID],189)="",ISNUMBER(SEARCH("ProductID",INDEX(tblTrans[ProductID],189)))),"",INDEX(tblTrans[Quantity],189)),"")</f>
        <v/>
      </c>
      <c r="E190" t="str">
        <f>IFERROR(IF(OR(INDEX(tblTrans[ProductID],189)="",ISNUMBER(SEARCH("ProductID",INDEX(tblTrans[ProductID],189)))),"",INDEX(tblTrans[Type],189)),"")</f>
        <v/>
      </c>
      <c r="F190" t="str">
        <f>IFERROR(IF(OR(INDEX(tblTrans[ProductID],189)="",ISNUMBER(SEARCH("ProductID",INDEX(tblTrans[ProductID],189)))),"",_xlfn.XLOOKUP(B190,tblProducts[ProductID],tblProducts[ProductName],"")),"")</f>
        <v/>
      </c>
      <c r="G190" t="str">
        <f>IFERROR(IF(OR(INDEX(tblTrans[ProductID],189)="",ISNUMBER(SEARCH("ProductID",INDEX(tblTrans[ProductID],189)))),"",_xlfn.XLOOKUP(B190,tblProducts[ProductID],tblProducts[Category],"")),"")</f>
        <v/>
      </c>
      <c r="H190" t="str">
        <f>IFERROR(IF(OR(INDEX(tblTrans[ProductID],189)="",ISNUMBER(SEARCH("ProductID",INDEX(tblTrans[ProductID],189)))),"",_xlfn.XLOOKUP(B190,tblProducts[ProductID],tblProducts[Supplier],"")),"")</f>
        <v/>
      </c>
      <c r="I190" t="str">
        <f>IFERROR(IF(OR(INDEX(tblTrans[ProductID],189)="",ISNUMBER(SEARCH("ProductID",INDEX(tblTrans[ProductID],189)))),"",D190*_xlfn.XLOOKUP(B190,tblProducts[ProductID],tblProducts[UnitCost],0)),"")</f>
        <v/>
      </c>
    </row>
    <row r="191" spans="1:9" x14ac:dyDescent="0.3">
      <c r="A191" s="5" t="str">
        <f>IFERROR(IF(OR(INDEX(tblTrans[ProductID],190)="",ISNUMBER(SEARCH("ProductID",INDEX(tblTrans[ProductID],190)))),"",INDEX(tblTrans[Date],190)),"")</f>
        <v/>
      </c>
      <c r="B191" t="str">
        <f>IFERROR(IF(OR(INDEX(tblTrans[ProductID],190)="",ISNUMBER(SEARCH("ProductID",INDEX(tblTrans[ProductID],190)))),"",INDEX(tblTrans[ProductID],190)),"")</f>
        <v/>
      </c>
      <c r="C191" t="str">
        <f>IFERROR(IF(OR(INDEX(tblTrans[ProductID],190)="",ISNUMBER(SEARCH("ProductID",INDEX(tblTrans[ProductID],190)))),"",INDEX(tblTrans[Location],190)),"")</f>
        <v/>
      </c>
      <c r="D191" t="str">
        <f>IFERROR(IF(OR(INDEX(tblTrans[ProductID],190)="",ISNUMBER(SEARCH("ProductID",INDEX(tblTrans[ProductID],190)))),"",INDEX(tblTrans[Quantity],190)),"")</f>
        <v/>
      </c>
      <c r="E191" t="str">
        <f>IFERROR(IF(OR(INDEX(tblTrans[ProductID],190)="",ISNUMBER(SEARCH("ProductID",INDEX(tblTrans[ProductID],190)))),"",INDEX(tblTrans[Type],190)),"")</f>
        <v/>
      </c>
      <c r="F191" t="str">
        <f>IFERROR(IF(OR(INDEX(tblTrans[ProductID],190)="",ISNUMBER(SEARCH("ProductID",INDEX(tblTrans[ProductID],190)))),"",_xlfn.XLOOKUP(B191,tblProducts[ProductID],tblProducts[ProductName],"")),"")</f>
        <v/>
      </c>
      <c r="G191" t="str">
        <f>IFERROR(IF(OR(INDEX(tblTrans[ProductID],190)="",ISNUMBER(SEARCH("ProductID",INDEX(tblTrans[ProductID],190)))),"",_xlfn.XLOOKUP(B191,tblProducts[ProductID],tblProducts[Category],"")),"")</f>
        <v/>
      </c>
      <c r="H191" t="str">
        <f>IFERROR(IF(OR(INDEX(tblTrans[ProductID],190)="",ISNUMBER(SEARCH("ProductID",INDEX(tblTrans[ProductID],190)))),"",_xlfn.XLOOKUP(B191,tblProducts[ProductID],tblProducts[Supplier],"")),"")</f>
        <v/>
      </c>
      <c r="I191" t="str">
        <f>IFERROR(IF(OR(INDEX(tblTrans[ProductID],190)="",ISNUMBER(SEARCH("ProductID",INDEX(tblTrans[ProductID],190)))),"",D191*_xlfn.XLOOKUP(B191,tblProducts[ProductID],tblProducts[UnitCost],0)),"")</f>
        <v/>
      </c>
    </row>
    <row r="192" spans="1:9" x14ac:dyDescent="0.3">
      <c r="A192" s="5" t="str">
        <f>IFERROR(IF(OR(INDEX(tblTrans[ProductID],191)="",ISNUMBER(SEARCH("ProductID",INDEX(tblTrans[ProductID],191)))),"",INDEX(tblTrans[Date],191)),"")</f>
        <v/>
      </c>
      <c r="B192" t="str">
        <f>IFERROR(IF(OR(INDEX(tblTrans[ProductID],191)="",ISNUMBER(SEARCH("ProductID",INDEX(tblTrans[ProductID],191)))),"",INDEX(tblTrans[ProductID],191)),"")</f>
        <v/>
      </c>
      <c r="C192" t="str">
        <f>IFERROR(IF(OR(INDEX(tblTrans[ProductID],191)="",ISNUMBER(SEARCH("ProductID",INDEX(tblTrans[ProductID],191)))),"",INDEX(tblTrans[Location],191)),"")</f>
        <v/>
      </c>
      <c r="D192" t="str">
        <f>IFERROR(IF(OR(INDEX(tblTrans[ProductID],191)="",ISNUMBER(SEARCH("ProductID",INDEX(tblTrans[ProductID],191)))),"",INDEX(tblTrans[Quantity],191)),"")</f>
        <v/>
      </c>
      <c r="E192" t="str">
        <f>IFERROR(IF(OR(INDEX(tblTrans[ProductID],191)="",ISNUMBER(SEARCH("ProductID",INDEX(tblTrans[ProductID],191)))),"",INDEX(tblTrans[Type],191)),"")</f>
        <v/>
      </c>
      <c r="F192" t="str">
        <f>IFERROR(IF(OR(INDEX(tblTrans[ProductID],191)="",ISNUMBER(SEARCH("ProductID",INDEX(tblTrans[ProductID],191)))),"",_xlfn.XLOOKUP(B192,tblProducts[ProductID],tblProducts[ProductName],"")),"")</f>
        <v/>
      </c>
      <c r="G192" t="str">
        <f>IFERROR(IF(OR(INDEX(tblTrans[ProductID],191)="",ISNUMBER(SEARCH("ProductID",INDEX(tblTrans[ProductID],191)))),"",_xlfn.XLOOKUP(B192,tblProducts[ProductID],tblProducts[Category],"")),"")</f>
        <v/>
      </c>
      <c r="H192" t="str">
        <f>IFERROR(IF(OR(INDEX(tblTrans[ProductID],191)="",ISNUMBER(SEARCH("ProductID",INDEX(tblTrans[ProductID],191)))),"",_xlfn.XLOOKUP(B192,tblProducts[ProductID],tblProducts[Supplier],"")),"")</f>
        <v/>
      </c>
      <c r="I192" t="str">
        <f>IFERROR(IF(OR(INDEX(tblTrans[ProductID],191)="",ISNUMBER(SEARCH("ProductID",INDEX(tblTrans[ProductID],191)))),"",D192*_xlfn.XLOOKUP(B192,tblProducts[ProductID],tblProducts[UnitCost],0)),"")</f>
        <v/>
      </c>
    </row>
    <row r="193" spans="1:9" x14ac:dyDescent="0.3">
      <c r="A193" s="5" t="str">
        <f>IFERROR(IF(OR(INDEX(tblTrans[ProductID],192)="",ISNUMBER(SEARCH("ProductID",INDEX(tblTrans[ProductID],192)))),"",INDEX(tblTrans[Date],192)),"")</f>
        <v/>
      </c>
      <c r="B193" t="str">
        <f>IFERROR(IF(OR(INDEX(tblTrans[ProductID],192)="",ISNUMBER(SEARCH("ProductID",INDEX(tblTrans[ProductID],192)))),"",INDEX(tblTrans[ProductID],192)),"")</f>
        <v/>
      </c>
      <c r="C193" t="str">
        <f>IFERROR(IF(OR(INDEX(tblTrans[ProductID],192)="",ISNUMBER(SEARCH("ProductID",INDEX(tblTrans[ProductID],192)))),"",INDEX(tblTrans[Location],192)),"")</f>
        <v/>
      </c>
      <c r="D193" t="str">
        <f>IFERROR(IF(OR(INDEX(tblTrans[ProductID],192)="",ISNUMBER(SEARCH("ProductID",INDEX(tblTrans[ProductID],192)))),"",INDEX(tblTrans[Quantity],192)),"")</f>
        <v/>
      </c>
      <c r="E193" t="str">
        <f>IFERROR(IF(OR(INDEX(tblTrans[ProductID],192)="",ISNUMBER(SEARCH("ProductID",INDEX(tblTrans[ProductID],192)))),"",INDEX(tblTrans[Type],192)),"")</f>
        <v/>
      </c>
      <c r="F193" t="str">
        <f>IFERROR(IF(OR(INDEX(tblTrans[ProductID],192)="",ISNUMBER(SEARCH("ProductID",INDEX(tblTrans[ProductID],192)))),"",_xlfn.XLOOKUP(B193,tblProducts[ProductID],tblProducts[ProductName],"")),"")</f>
        <v/>
      </c>
      <c r="G193" t="str">
        <f>IFERROR(IF(OR(INDEX(tblTrans[ProductID],192)="",ISNUMBER(SEARCH("ProductID",INDEX(tblTrans[ProductID],192)))),"",_xlfn.XLOOKUP(B193,tblProducts[ProductID],tblProducts[Category],"")),"")</f>
        <v/>
      </c>
      <c r="H193" t="str">
        <f>IFERROR(IF(OR(INDEX(tblTrans[ProductID],192)="",ISNUMBER(SEARCH("ProductID",INDEX(tblTrans[ProductID],192)))),"",_xlfn.XLOOKUP(B193,tblProducts[ProductID],tblProducts[Supplier],"")),"")</f>
        <v/>
      </c>
      <c r="I193" t="str">
        <f>IFERROR(IF(OR(INDEX(tblTrans[ProductID],192)="",ISNUMBER(SEARCH("ProductID",INDEX(tblTrans[ProductID],192)))),"",D193*_xlfn.XLOOKUP(B193,tblProducts[ProductID],tblProducts[UnitCost],0)),"")</f>
        <v/>
      </c>
    </row>
    <row r="194" spans="1:9" x14ac:dyDescent="0.3">
      <c r="A194" s="5" t="str">
        <f>IFERROR(IF(OR(INDEX(tblTrans[ProductID],193)="",ISNUMBER(SEARCH("ProductID",INDEX(tblTrans[ProductID],193)))),"",INDEX(tblTrans[Date],193)),"")</f>
        <v/>
      </c>
      <c r="B194" t="str">
        <f>IFERROR(IF(OR(INDEX(tblTrans[ProductID],193)="",ISNUMBER(SEARCH("ProductID",INDEX(tblTrans[ProductID],193)))),"",INDEX(tblTrans[ProductID],193)),"")</f>
        <v/>
      </c>
      <c r="C194" t="str">
        <f>IFERROR(IF(OR(INDEX(tblTrans[ProductID],193)="",ISNUMBER(SEARCH("ProductID",INDEX(tblTrans[ProductID],193)))),"",INDEX(tblTrans[Location],193)),"")</f>
        <v/>
      </c>
      <c r="D194" t="str">
        <f>IFERROR(IF(OR(INDEX(tblTrans[ProductID],193)="",ISNUMBER(SEARCH("ProductID",INDEX(tblTrans[ProductID],193)))),"",INDEX(tblTrans[Quantity],193)),"")</f>
        <v/>
      </c>
      <c r="E194" t="str">
        <f>IFERROR(IF(OR(INDEX(tblTrans[ProductID],193)="",ISNUMBER(SEARCH("ProductID",INDEX(tblTrans[ProductID],193)))),"",INDEX(tblTrans[Type],193)),"")</f>
        <v/>
      </c>
      <c r="F194" t="str">
        <f>IFERROR(IF(OR(INDEX(tblTrans[ProductID],193)="",ISNUMBER(SEARCH("ProductID",INDEX(tblTrans[ProductID],193)))),"",_xlfn.XLOOKUP(B194,tblProducts[ProductID],tblProducts[ProductName],"")),"")</f>
        <v/>
      </c>
      <c r="G194" t="str">
        <f>IFERROR(IF(OR(INDEX(tblTrans[ProductID],193)="",ISNUMBER(SEARCH("ProductID",INDEX(tblTrans[ProductID],193)))),"",_xlfn.XLOOKUP(B194,tblProducts[ProductID],tblProducts[Category],"")),"")</f>
        <v/>
      </c>
      <c r="H194" t="str">
        <f>IFERROR(IF(OR(INDEX(tblTrans[ProductID],193)="",ISNUMBER(SEARCH("ProductID",INDEX(tblTrans[ProductID],193)))),"",_xlfn.XLOOKUP(B194,tblProducts[ProductID],tblProducts[Supplier],"")),"")</f>
        <v/>
      </c>
      <c r="I194" t="str">
        <f>IFERROR(IF(OR(INDEX(tblTrans[ProductID],193)="",ISNUMBER(SEARCH("ProductID",INDEX(tblTrans[ProductID],193)))),"",D194*_xlfn.XLOOKUP(B194,tblProducts[ProductID],tblProducts[UnitCost],0)),"")</f>
        <v/>
      </c>
    </row>
    <row r="195" spans="1:9" x14ac:dyDescent="0.3">
      <c r="A195" s="5" t="str">
        <f>IFERROR(IF(OR(INDEX(tblTrans[ProductID],194)="",ISNUMBER(SEARCH("ProductID",INDEX(tblTrans[ProductID],194)))),"",INDEX(tblTrans[Date],194)),"")</f>
        <v/>
      </c>
      <c r="B195" t="str">
        <f>IFERROR(IF(OR(INDEX(tblTrans[ProductID],194)="",ISNUMBER(SEARCH("ProductID",INDEX(tblTrans[ProductID],194)))),"",INDEX(tblTrans[ProductID],194)),"")</f>
        <v/>
      </c>
      <c r="C195" t="str">
        <f>IFERROR(IF(OR(INDEX(tblTrans[ProductID],194)="",ISNUMBER(SEARCH("ProductID",INDEX(tblTrans[ProductID],194)))),"",INDEX(tblTrans[Location],194)),"")</f>
        <v/>
      </c>
      <c r="D195" t="str">
        <f>IFERROR(IF(OR(INDEX(tblTrans[ProductID],194)="",ISNUMBER(SEARCH("ProductID",INDEX(tblTrans[ProductID],194)))),"",INDEX(tblTrans[Quantity],194)),"")</f>
        <v/>
      </c>
      <c r="E195" t="str">
        <f>IFERROR(IF(OR(INDEX(tblTrans[ProductID],194)="",ISNUMBER(SEARCH("ProductID",INDEX(tblTrans[ProductID],194)))),"",INDEX(tblTrans[Type],194)),"")</f>
        <v/>
      </c>
      <c r="F195" t="str">
        <f>IFERROR(IF(OR(INDEX(tblTrans[ProductID],194)="",ISNUMBER(SEARCH("ProductID",INDEX(tblTrans[ProductID],194)))),"",_xlfn.XLOOKUP(B195,tblProducts[ProductID],tblProducts[ProductName],"")),"")</f>
        <v/>
      </c>
      <c r="G195" t="str">
        <f>IFERROR(IF(OR(INDEX(tblTrans[ProductID],194)="",ISNUMBER(SEARCH("ProductID",INDEX(tblTrans[ProductID],194)))),"",_xlfn.XLOOKUP(B195,tblProducts[ProductID],tblProducts[Category],"")),"")</f>
        <v/>
      </c>
      <c r="H195" t="str">
        <f>IFERROR(IF(OR(INDEX(tblTrans[ProductID],194)="",ISNUMBER(SEARCH("ProductID",INDEX(tblTrans[ProductID],194)))),"",_xlfn.XLOOKUP(B195,tblProducts[ProductID],tblProducts[Supplier],"")),"")</f>
        <v/>
      </c>
      <c r="I195" t="str">
        <f>IFERROR(IF(OR(INDEX(tblTrans[ProductID],194)="",ISNUMBER(SEARCH("ProductID",INDEX(tblTrans[ProductID],194)))),"",D195*_xlfn.XLOOKUP(B195,tblProducts[ProductID],tblProducts[UnitCost],0)),"")</f>
        <v/>
      </c>
    </row>
    <row r="196" spans="1:9" x14ac:dyDescent="0.3">
      <c r="A196" s="5" t="str">
        <f>IFERROR(IF(OR(INDEX(tblTrans[ProductID],195)="",ISNUMBER(SEARCH("ProductID",INDEX(tblTrans[ProductID],195)))),"",INDEX(tblTrans[Date],195)),"")</f>
        <v/>
      </c>
      <c r="B196" t="str">
        <f>IFERROR(IF(OR(INDEX(tblTrans[ProductID],195)="",ISNUMBER(SEARCH("ProductID",INDEX(tblTrans[ProductID],195)))),"",INDEX(tblTrans[ProductID],195)),"")</f>
        <v/>
      </c>
      <c r="C196" t="str">
        <f>IFERROR(IF(OR(INDEX(tblTrans[ProductID],195)="",ISNUMBER(SEARCH("ProductID",INDEX(tblTrans[ProductID],195)))),"",INDEX(tblTrans[Location],195)),"")</f>
        <v/>
      </c>
      <c r="D196" t="str">
        <f>IFERROR(IF(OR(INDEX(tblTrans[ProductID],195)="",ISNUMBER(SEARCH("ProductID",INDEX(tblTrans[ProductID],195)))),"",INDEX(tblTrans[Quantity],195)),"")</f>
        <v/>
      </c>
      <c r="E196" t="str">
        <f>IFERROR(IF(OR(INDEX(tblTrans[ProductID],195)="",ISNUMBER(SEARCH("ProductID",INDEX(tblTrans[ProductID],195)))),"",INDEX(tblTrans[Type],195)),"")</f>
        <v/>
      </c>
      <c r="F196" t="str">
        <f>IFERROR(IF(OR(INDEX(tblTrans[ProductID],195)="",ISNUMBER(SEARCH("ProductID",INDEX(tblTrans[ProductID],195)))),"",_xlfn.XLOOKUP(B196,tblProducts[ProductID],tblProducts[ProductName],"")),"")</f>
        <v/>
      </c>
      <c r="G196" t="str">
        <f>IFERROR(IF(OR(INDEX(tblTrans[ProductID],195)="",ISNUMBER(SEARCH("ProductID",INDEX(tblTrans[ProductID],195)))),"",_xlfn.XLOOKUP(B196,tblProducts[ProductID],tblProducts[Category],"")),"")</f>
        <v/>
      </c>
      <c r="H196" t="str">
        <f>IFERROR(IF(OR(INDEX(tblTrans[ProductID],195)="",ISNUMBER(SEARCH("ProductID",INDEX(tblTrans[ProductID],195)))),"",_xlfn.XLOOKUP(B196,tblProducts[ProductID],tblProducts[Supplier],"")),"")</f>
        <v/>
      </c>
      <c r="I196" t="str">
        <f>IFERROR(IF(OR(INDEX(tblTrans[ProductID],195)="",ISNUMBER(SEARCH("ProductID",INDEX(tblTrans[ProductID],195)))),"",D196*_xlfn.XLOOKUP(B196,tblProducts[ProductID],tblProducts[UnitCost],0)),"")</f>
        <v/>
      </c>
    </row>
    <row r="197" spans="1:9" x14ac:dyDescent="0.3">
      <c r="A197" s="5" t="str">
        <f>IFERROR(IF(OR(INDEX(tblTrans[ProductID],196)="",ISNUMBER(SEARCH("ProductID",INDEX(tblTrans[ProductID],196)))),"",INDEX(tblTrans[Date],196)),"")</f>
        <v/>
      </c>
      <c r="B197" t="str">
        <f>IFERROR(IF(OR(INDEX(tblTrans[ProductID],196)="",ISNUMBER(SEARCH("ProductID",INDEX(tblTrans[ProductID],196)))),"",INDEX(tblTrans[ProductID],196)),"")</f>
        <v/>
      </c>
      <c r="C197" t="str">
        <f>IFERROR(IF(OR(INDEX(tblTrans[ProductID],196)="",ISNUMBER(SEARCH("ProductID",INDEX(tblTrans[ProductID],196)))),"",INDEX(tblTrans[Location],196)),"")</f>
        <v/>
      </c>
      <c r="D197" t="str">
        <f>IFERROR(IF(OR(INDEX(tblTrans[ProductID],196)="",ISNUMBER(SEARCH("ProductID",INDEX(tblTrans[ProductID],196)))),"",INDEX(tblTrans[Quantity],196)),"")</f>
        <v/>
      </c>
      <c r="E197" t="str">
        <f>IFERROR(IF(OR(INDEX(tblTrans[ProductID],196)="",ISNUMBER(SEARCH("ProductID",INDEX(tblTrans[ProductID],196)))),"",INDEX(tblTrans[Type],196)),"")</f>
        <v/>
      </c>
      <c r="F197" t="str">
        <f>IFERROR(IF(OR(INDEX(tblTrans[ProductID],196)="",ISNUMBER(SEARCH("ProductID",INDEX(tblTrans[ProductID],196)))),"",_xlfn.XLOOKUP(B197,tblProducts[ProductID],tblProducts[ProductName],"")),"")</f>
        <v/>
      </c>
      <c r="G197" t="str">
        <f>IFERROR(IF(OR(INDEX(tblTrans[ProductID],196)="",ISNUMBER(SEARCH("ProductID",INDEX(tblTrans[ProductID],196)))),"",_xlfn.XLOOKUP(B197,tblProducts[ProductID],tblProducts[Category],"")),"")</f>
        <v/>
      </c>
      <c r="H197" t="str">
        <f>IFERROR(IF(OR(INDEX(tblTrans[ProductID],196)="",ISNUMBER(SEARCH("ProductID",INDEX(tblTrans[ProductID],196)))),"",_xlfn.XLOOKUP(B197,tblProducts[ProductID],tblProducts[Supplier],"")),"")</f>
        <v/>
      </c>
      <c r="I197" t="str">
        <f>IFERROR(IF(OR(INDEX(tblTrans[ProductID],196)="",ISNUMBER(SEARCH("ProductID",INDEX(tblTrans[ProductID],196)))),"",D197*_xlfn.XLOOKUP(B197,tblProducts[ProductID],tblProducts[UnitCost],0)),"")</f>
        <v/>
      </c>
    </row>
    <row r="198" spans="1:9" x14ac:dyDescent="0.3">
      <c r="A198" s="5" t="str">
        <f>IFERROR(IF(OR(INDEX(tblTrans[ProductID],197)="",ISNUMBER(SEARCH("ProductID",INDEX(tblTrans[ProductID],197)))),"",INDEX(tblTrans[Date],197)),"")</f>
        <v/>
      </c>
      <c r="B198" t="str">
        <f>IFERROR(IF(OR(INDEX(tblTrans[ProductID],197)="",ISNUMBER(SEARCH("ProductID",INDEX(tblTrans[ProductID],197)))),"",INDEX(tblTrans[ProductID],197)),"")</f>
        <v/>
      </c>
      <c r="C198" t="str">
        <f>IFERROR(IF(OR(INDEX(tblTrans[ProductID],197)="",ISNUMBER(SEARCH("ProductID",INDEX(tblTrans[ProductID],197)))),"",INDEX(tblTrans[Location],197)),"")</f>
        <v/>
      </c>
      <c r="D198" t="str">
        <f>IFERROR(IF(OR(INDEX(tblTrans[ProductID],197)="",ISNUMBER(SEARCH("ProductID",INDEX(tblTrans[ProductID],197)))),"",INDEX(tblTrans[Quantity],197)),"")</f>
        <v/>
      </c>
      <c r="E198" t="str">
        <f>IFERROR(IF(OR(INDEX(tblTrans[ProductID],197)="",ISNUMBER(SEARCH("ProductID",INDEX(tblTrans[ProductID],197)))),"",INDEX(tblTrans[Type],197)),"")</f>
        <v/>
      </c>
      <c r="F198" t="str">
        <f>IFERROR(IF(OR(INDEX(tblTrans[ProductID],197)="",ISNUMBER(SEARCH("ProductID",INDEX(tblTrans[ProductID],197)))),"",_xlfn.XLOOKUP(B198,tblProducts[ProductID],tblProducts[ProductName],"")),"")</f>
        <v/>
      </c>
      <c r="G198" t="str">
        <f>IFERROR(IF(OR(INDEX(tblTrans[ProductID],197)="",ISNUMBER(SEARCH("ProductID",INDEX(tblTrans[ProductID],197)))),"",_xlfn.XLOOKUP(B198,tblProducts[ProductID],tblProducts[Category],"")),"")</f>
        <v/>
      </c>
      <c r="H198" t="str">
        <f>IFERROR(IF(OR(INDEX(tblTrans[ProductID],197)="",ISNUMBER(SEARCH("ProductID",INDEX(tblTrans[ProductID],197)))),"",_xlfn.XLOOKUP(B198,tblProducts[ProductID],tblProducts[Supplier],"")),"")</f>
        <v/>
      </c>
      <c r="I198" t="str">
        <f>IFERROR(IF(OR(INDEX(tblTrans[ProductID],197)="",ISNUMBER(SEARCH("ProductID",INDEX(tblTrans[ProductID],197)))),"",D198*_xlfn.XLOOKUP(B198,tblProducts[ProductID],tblProducts[UnitCost],0)),"")</f>
        <v/>
      </c>
    </row>
    <row r="199" spans="1:9" x14ac:dyDescent="0.3">
      <c r="A199" s="5" t="str">
        <f>IFERROR(IF(OR(INDEX(tblTrans[ProductID],198)="",ISNUMBER(SEARCH("ProductID",INDEX(tblTrans[ProductID],198)))),"",INDEX(tblTrans[Date],198)),"")</f>
        <v/>
      </c>
      <c r="B199" t="str">
        <f>IFERROR(IF(OR(INDEX(tblTrans[ProductID],198)="",ISNUMBER(SEARCH("ProductID",INDEX(tblTrans[ProductID],198)))),"",INDEX(tblTrans[ProductID],198)),"")</f>
        <v/>
      </c>
      <c r="C199" t="str">
        <f>IFERROR(IF(OR(INDEX(tblTrans[ProductID],198)="",ISNUMBER(SEARCH("ProductID",INDEX(tblTrans[ProductID],198)))),"",INDEX(tblTrans[Location],198)),"")</f>
        <v/>
      </c>
      <c r="D199" t="str">
        <f>IFERROR(IF(OR(INDEX(tblTrans[ProductID],198)="",ISNUMBER(SEARCH("ProductID",INDEX(tblTrans[ProductID],198)))),"",INDEX(tblTrans[Quantity],198)),"")</f>
        <v/>
      </c>
      <c r="E199" t="str">
        <f>IFERROR(IF(OR(INDEX(tblTrans[ProductID],198)="",ISNUMBER(SEARCH("ProductID",INDEX(tblTrans[ProductID],198)))),"",INDEX(tblTrans[Type],198)),"")</f>
        <v/>
      </c>
      <c r="F199" t="str">
        <f>IFERROR(IF(OR(INDEX(tblTrans[ProductID],198)="",ISNUMBER(SEARCH("ProductID",INDEX(tblTrans[ProductID],198)))),"",_xlfn.XLOOKUP(B199,tblProducts[ProductID],tblProducts[ProductName],"")),"")</f>
        <v/>
      </c>
      <c r="G199" t="str">
        <f>IFERROR(IF(OR(INDEX(tblTrans[ProductID],198)="",ISNUMBER(SEARCH("ProductID",INDEX(tblTrans[ProductID],198)))),"",_xlfn.XLOOKUP(B199,tblProducts[ProductID],tblProducts[Category],"")),"")</f>
        <v/>
      </c>
      <c r="H199" t="str">
        <f>IFERROR(IF(OR(INDEX(tblTrans[ProductID],198)="",ISNUMBER(SEARCH("ProductID",INDEX(tblTrans[ProductID],198)))),"",_xlfn.XLOOKUP(B199,tblProducts[ProductID],tblProducts[Supplier],"")),"")</f>
        <v/>
      </c>
      <c r="I199" t="str">
        <f>IFERROR(IF(OR(INDEX(tblTrans[ProductID],198)="",ISNUMBER(SEARCH("ProductID",INDEX(tblTrans[ProductID],198)))),"",D199*_xlfn.XLOOKUP(B199,tblProducts[ProductID],tblProducts[UnitCost],0)),"")</f>
        <v/>
      </c>
    </row>
    <row r="200" spans="1:9" x14ac:dyDescent="0.3">
      <c r="A200" s="5" t="str">
        <f>IFERROR(IF(OR(INDEX(tblTrans[ProductID],199)="",ISNUMBER(SEARCH("ProductID",INDEX(tblTrans[ProductID],199)))),"",INDEX(tblTrans[Date],199)),"")</f>
        <v/>
      </c>
      <c r="B200" t="str">
        <f>IFERROR(IF(OR(INDEX(tblTrans[ProductID],199)="",ISNUMBER(SEARCH("ProductID",INDEX(tblTrans[ProductID],199)))),"",INDEX(tblTrans[ProductID],199)),"")</f>
        <v/>
      </c>
      <c r="C200" t="str">
        <f>IFERROR(IF(OR(INDEX(tblTrans[ProductID],199)="",ISNUMBER(SEARCH("ProductID",INDEX(tblTrans[ProductID],199)))),"",INDEX(tblTrans[Location],199)),"")</f>
        <v/>
      </c>
      <c r="D200" t="str">
        <f>IFERROR(IF(OR(INDEX(tblTrans[ProductID],199)="",ISNUMBER(SEARCH("ProductID",INDEX(tblTrans[ProductID],199)))),"",INDEX(tblTrans[Quantity],199)),"")</f>
        <v/>
      </c>
      <c r="E200" t="str">
        <f>IFERROR(IF(OR(INDEX(tblTrans[ProductID],199)="",ISNUMBER(SEARCH("ProductID",INDEX(tblTrans[ProductID],199)))),"",INDEX(tblTrans[Type],199)),"")</f>
        <v/>
      </c>
      <c r="F200" t="str">
        <f>IFERROR(IF(OR(INDEX(tblTrans[ProductID],199)="",ISNUMBER(SEARCH("ProductID",INDEX(tblTrans[ProductID],199)))),"",_xlfn.XLOOKUP(B200,tblProducts[ProductID],tblProducts[ProductName],"")),"")</f>
        <v/>
      </c>
      <c r="G200" t="str">
        <f>IFERROR(IF(OR(INDEX(tblTrans[ProductID],199)="",ISNUMBER(SEARCH("ProductID",INDEX(tblTrans[ProductID],199)))),"",_xlfn.XLOOKUP(B200,tblProducts[ProductID],tblProducts[Category],"")),"")</f>
        <v/>
      </c>
      <c r="H200" t="str">
        <f>IFERROR(IF(OR(INDEX(tblTrans[ProductID],199)="",ISNUMBER(SEARCH("ProductID",INDEX(tblTrans[ProductID],199)))),"",_xlfn.XLOOKUP(B200,tblProducts[ProductID],tblProducts[Supplier],"")),"")</f>
        <v/>
      </c>
      <c r="I200" t="str">
        <f>IFERROR(IF(OR(INDEX(tblTrans[ProductID],199)="",ISNUMBER(SEARCH("ProductID",INDEX(tblTrans[ProductID],199)))),"",D200*_xlfn.XLOOKUP(B200,tblProducts[ProductID],tblProducts[UnitCost],0)),"")</f>
        <v/>
      </c>
    </row>
    <row r="201" spans="1:9" x14ac:dyDescent="0.3">
      <c r="A201" s="5" t="str">
        <f>IFERROR(IF(OR(INDEX(tblTrans[ProductID],200)="",ISNUMBER(SEARCH("ProductID",INDEX(tblTrans[ProductID],200)))),"",INDEX(tblTrans[Date],200)),"")</f>
        <v/>
      </c>
      <c r="B201" t="str">
        <f>IFERROR(IF(OR(INDEX(tblTrans[ProductID],200)="",ISNUMBER(SEARCH("ProductID",INDEX(tblTrans[ProductID],200)))),"",INDEX(tblTrans[ProductID],200)),"")</f>
        <v/>
      </c>
      <c r="C201" t="str">
        <f>IFERROR(IF(OR(INDEX(tblTrans[ProductID],200)="",ISNUMBER(SEARCH("ProductID",INDEX(tblTrans[ProductID],200)))),"",INDEX(tblTrans[Location],200)),"")</f>
        <v/>
      </c>
      <c r="D201" t="str">
        <f>IFERROR(IF(OR(INDEX(tblTrans[ProductID],200)="",ISNUMBER(SEARCH("ProductID",INDEX(tblTrans[ProductID],200)))),"",INDEX(tblTrans[Quantity],200)),"")</f>
        <v/>
      </c>
      <c r="E201" t="str">
        <f>IFERROR(IF(OR(INDEX(tblTrans[ProductID],200)="",ISNUMBER(SEARCH("ProductID",INDEX(tblTrans[ProductID],200)))),"",INDEX(tblTrans[Type],200)),"")</f>
        <v/>
      </c>
      <c r="F201" t="str">
        <f>IFERROR(IF(OR(INDEX(tblTrans[ProductID],200)="",ISNUMBER(SEARCH("ProductID",INDEX(tblTrans[ProductID],200)))),"",_xlfn.XLOOKUP(B201,tblProducts[ProductID],tblProducts[ProductName],"")),"")</f>
        <v/>
      </c>
      <c r="G201" t="str">
        <f>IFERROR(IF(OR(INDEX(tblTrans[ProductID],200)="",ISNUMBER(SEARCH("ProductID",INDEX(tblTrans[ProductID],200)))),"",_xlfn.XLOOKUP(B201,tblProducts[ProductID],tblProducts[Category],"")),"")</f>
        <v/>
      </c>
      <c r="H201" t="str">
        <f>IFERROR(IF(OR(INDEX(tblTrans[ProductID],200)="",ISNUMBER(SEARCH("ProductID",INDEX(tblTrans[ProductID],200)))),"",_xlfn.XLOOKUP(B201,tblProducts[ProductID],tblProducts[Supplier],"")),"")</f>
        <v/>
      </c>
      <c r="I201" t="str">
        <f>IFERROR(IF(OR(INDEX(tblTrans[ProductID],200)="",ISNUMBER(SEARCH("ProductID",INDEX(tblTrans[ProductID],200)))),"",D201*_xlfn.XLOOKUP(B201,tblProducts[ProductID],tblProducts[UnitCost],0)),"")</f>
        <v/>
      </c>
    </row>
    <row r="202" spans="1:9" x14ac:dyDescent="0.3">
      <c r="A202" s="5" t="str">
        <f>IFERROR(IF(OR(INDEX(tblTrans[ProductID],201)="",ISNUMBER(SEARCH("ProductID",INDEX(tblTrans[ProductID],201)))),"",INDEX(tblTrans[Date],201)),"")</f>
        <v/>
      </c>
      <c r="B202" t="str">
        <f>IFERROR(IF(OR(INDEX(tblTrans[ProductID],201)="",ISNUMBER(SEARCH("ProductID",INDEX(tblTrans[ProductID],201)))),"",INDEX(tblTrans[ProductID],201)),"")</f>
        <v/>
      </c>
      <c r="C202" t="str">
        <f>IFERROR(IF(OR(INDEX(tblTrans[ProductID],201)="",ISNUMBER(SEARCH("ProductID",INDEX(tblTrans[ProductID],201)))),"",INDEX(tblTrans[Location],201)),"")</f>
        <v/>
      </c>
      <c r="D202" t="str">
        <f>IFERROR(IF(OR(INDEX(tblTrans[ProductID],201)="",ISNUMBER(SEARCH("ProductID",INDEX(tblTrans[ProductID],201)))),"",INDEX(tblTrans[Quantity],201)),"")</f>
        <v/>
      </c>
      <c r="E202" t="str">
        <f>IFERROR(IF(OR(INDEX(tblTrans[ProductID],201)="",ISNUMBER(SEARCH("ProductID",INDEX(tblTrans[ProductID],201)))),"",INDEX(tblTrans[Type],201)),"")</f>
        <v/>
      </c>
      <c r="F202" t="str">
        <f>IFERROR(IF(OR(INDEX(tblTrans[ProductID],201)="",ISNUMBER(SEARCH("ProductID",INDEX(tblTrans[ProductID],201)))),"",_xlfn.XLOOKUP(B202,tblProducts[ProductID],tblProducts[ProductName],"")),"")</f>
        <v/>
      </c>
      <c r="G202" t="str">
        <f>IFERROR(IF(OR(INDEX(tblTrans[ProductID],201)="",ISNUMBER(SEARCH("ProductID",INDEX(tblTrans[ProductID],201)))),"",_xlfn.XLOOKUP(B202,tblProducts[ProductID],tblProducts[Category],"")),"")</f>
        <v/>
      </c>
      <c r="H202" t="str">
        <f>IFERROR(IF(OR(INDEX(tblTrans[ProductID],201)="",ISNUMBER(SEARCH("ProductID",INDEX(tblTrans[ProductID],201)))),"",_xlfn.XLOOKUP(B202,tblProducts[ProductID],tblProducts[Supplier],"")),"")</f>
        <v/>
      </c>
      <c r="I202" t="str">
        <f>IFERROR(IF(OR(INDEX(tblTrans[ProductID],201)="",ISNUMBER(SEARCH("ProductID",INDEX(tblTrans[ProductID],201)))),"",D202*_xlfn.XLOOKUP(B202,tblProducts[ProductID],tblProducts[UnitCost],0)),"")</f>
        <v/>
      </c>
    </row>
    <row r="203" spans="1:9" x14ac:dyDescent="0.3">
      <c r="A203" s="5" t="str">
        <f>IFERROR(IF(OR(INDEX(tblTrans[ProductID],202)="",ISNUMBER(SEARCH("ProductID",INDEX(tblTrans[ProductID],202)))),"",INDEX(tblTrans[Date],202)),"")</f>
        <v/>
      </c>
      <c r="B203" t="str">
        <f>IFERROR(IF(OR(INDEX(tblTrans[ProductID],202)="",ISNUMBER(SEARCH("ProductID",INDEX(tblTrans[ProductID],202)))),"",INDEX(tblTrans[ProductID],202)),"")</f>
        <v/>
      </c>
      <c r="C203" t="str">
        <f>IFERROR(IF(OR(INDEX(tblTrans[ProductID],202)="",ISNUMBER(SEARCH("ProductID",INDEX(tblTrans[ProductID],202)))),"",INDEX(tblTrans[Location],202)),"")</f>
        <v/>
      </c>
      <c r="D203" t="str">
        <f>IFERROR(IF(OR(INDEX(tblTrans[ProductID],202)="",ISNUMBER(SEARCH("ProductID",INDEX(tblTrans[ProductID],202)))),"",INDEX(tblTrans[Quantity],202)),"")</f>
        <v/>
      </c>
      <c r="E203" t="str">
        <f>IFERROR(IF(OR(INDEX(tblTrans[ProductID],202)="",ISNUMBER(SEARCH("ProductID",INDEX(tblTrans[ProductID],202)))),"",INDEX(tblTrans[Type],202)),"")</f>
        <v/>
      </c>
      <c r="F203" t="str">
        <f>IFERROR(IF(OR(INDEX(tblTrans[ProductID],202)="",ISNUMBER(SEARCH("ProductID",INDEX(tblTrans[ProductID],202)))),"",_xlfn.XLOOKUP(B203,tblProducts[ProductID],tblProducts[ProductName],"")),"")</f>
        <v/>
      </c>
      <c r="G203" t="str">
        <f>IFERROR(IF(OR(INDEX(tblTrans[ProductID],202)="",ISNUMBER(SEARCH("ProductID",INDEX(tblTrans[ProductID],202)))),"",_xlfn.XLOOKUP(B203,tblProducts[ProductID],tblProducts[Category],"")),"")</f>
        <v/>
      </c>
      <c r="H203" t="str">
        <f>IFERROR(IF(OR(INDEX(tblTrans[ProductID],202)="",ISNUMBER(SEARCH("ProductID",INDEX(tblTrans[ProductID],202)))),"",_xlfn.XLOOKUP(B203,tblProducts[ProductID],tblProducts[Supplier],"")),"")</f>
        <v/>
      </c>
      <c r="I203" t="str">
        <f>IFERROR(IF(OR(INDEX(tblTrans[ProductID],202)="",ISNUMBER(SEARCH("ProductID",INDEX(tblTrans[ProductID],202)))),"",D203*_xlfn.XLOOKUP(B203,tblProducts[ProductID],tblProducts[UnitCost],0)),"")</f>
        <v/>
      </c>
    </row>
    <row r="204" spans="1:9" x14ac:dyDescent="0.3">
      <c r="A204" s="5" t="str">
        <f>IFERROR(IF(OR(INDEX(tblTrans[ProductID],203)="",ISNUMBER(SEARCH("ProductID",INDEX(tblTrans[ProductID],203)))),"",INDEX(tblTrans[Date],203)),"")</f>
        <v/>
      </c>
      <c r="B204" t="str">
        <f>IFERROR(IF(OR(INDEX(tblTrans[ProductID],203)="",ISNUMBER(SEARCH("ProductID",INDEX(tblTrans[ProductID],203)))),"",INDEX(tblTrans[ProductID],203)),"")</f>
        <v/>
      </c>
      <c r="C204" t="str">
        <f>IFERROR(IF(OR(INDEX(tblTrans[ProductID],203)="",ISNUMBER(SEARCH("ProductID",INDEX(tblTrans[ProductID],203)))),"",INDEX(tblTrans[Location],203)),"")</f>
        <v/>
      </c>
      <c r="D204" t="str">
        <f>IFERROR(IF(OR(INDEX(tblTrans[ProductID],203)="",ISNUMBER(SEARCH("ProductID",INDEX(tblTrans[ProductID],203)))),"",INDEX(tblTrans[Quantity],203)),"")</f>
        <v/>
      </c>
      <c r="E204" t="str">
        <f>IFERROR(IF(OR(INDEX(tblTrans[ProductID],203)="",ISNUMBER(SEARCH("ProductID",INDEX(tblTrans[ProductID],203)))),"",INDEX(tblTrans[Type],203)),"")</f>
        <v/>
      </c>
      <c r="F204" t="str">
        <f>IFERROR(IF(OR(INDEX(tblTrans[ProductID],203)="",ISNUMBER(SEARCH("ProductID",INDEX(tblTrans[ProductID],203)))),"",_xlfn.XLOOKUP(B204,tblProducts[ProductID],tblProducts[ProductName],"")),"")</f>
        <v/>
      </c>
      <c r="G204" t="str">
        <f>IFERROR(IF(OR(INDEX(tblTrans[ProductID],203)="",ISNUMBER(SEARCH("ProductID",INDEX(tblTrans[ProductID],203)))),"",_xlfn.XLOOKUP(B204,tblProducts[ProductID],tblProducts[Category],"")),"")</f>
        <v/>
      </c>
      <c r="H204" t="str">
        <f>IFERROR(IF(OR(INDEX(tblTrans[ProductID],203)="",ISNUMBER(SEARCH("ProductID",INDEX(tblTrans[ProductID],203)))),"",_xlfn.XLOOKUP(B204,tblProducts[ProductID],tblProducts[Supplier],"")),"")</f>
        <v/>
      </c>
      <c r="I204" t="str">
        <f>IFERROR(IF(OR(INDEX(tblTrans[ProductID],203)="",ISNUMBER(SEARCH("ProductID",INDEX(tblTrans[ProductID],203)))),"",D204*_xlfn.XLOOKUP(B204,tblProducts[ProductID],tblProducts[UnitCost],0)),"")</f>
        <v/>
      </c>
    </row>
    <row r="205" spans="1:9" x14ac:dyDescent="0.3">
      <c r="A205" s="5" t="str">
        <f>IFERROR(IF(OR(INDEX(tblTrans[ProductID],204)="",ISNUMBER(SEARCH("ProductID",INDEX(tblTrans[ProductID],204)))),"",INDEX(tblTrans[Date],204)),"")</f>
        <v/>
      </c>
      <c r="B205" t="str">
        <f>IFERROR(IF(OR(INDEX(tblTrans[ProductID],204)="",ISNUMBER(SEARCH("ProductID",INDEX(tblTrans[ProductID],204)))),"",INDEX(tblTrans[ProductID],204)),"")</f>
        <v/>
      </c>
      <c r="C205" t="str">
        <f>IFERROR(IF(OR(INDEX(tblTrans[ProductID],204)="",ISNUMBER(SEARCH("ProductID",INDEX(tblTrans[ProductID],204)))),"",INDEX(tblTrans[Location],204)),"")</f>
        <v/>
      </c>
      <c r="D205" t="str">
        <f>IFERROR(IF(OR(INDEX(tblTrans[ProductID],204)="",ISNUMBER(SEARCH("ProductID",INDEX(tblTrans[ProductID],204)))),"",INDEX(tblTrans[Quantity],204)),"")</f>
        <v/>
      </c>
      <c r="E205" t="str">
        <f>IFERROR(IF(OR(INDEX(tblTrans[ProductID],204)="",ISNUMBER(SEARCH("ProductID",INDEX(tblTrans[ProductID],204)))),"",INDEX(tblTrans[Type],204)),"")</f>
        <v/>
      </c>
      <c r="F205" t="str">
        <f>IFERROR(IF(OR(INDEX(tblTrans[ProductID],204)="",ISNUMBER(SEARCH("ProductID",INDEX(tblTrans[ProductID],204)))),"",_xlfn.XLOOKUP(B205,tblProducts[ProductID],tblProducts[ProductName],"")),"")</f>
        <v/>
      </c>
      <c r="G205" t="str">
        <f>IFERROR(IF(OR(INDEX(tblTrans[ProductID],204)="",ISNUMBER(SEARCH("ProductID",INDEX(tblTrans[ProductID],204)))),"",_xlfn.XLOOKUP(B205,tblProducts[ProductID],tblProducts[Category],"")),"")</f>
        <v/>
      </c>
      <c r="H205" t="str">
        <f>IFERROR(IF(OR(INDEX(tblTrans[ProductID],204)="",ISNUMBER(SEARCH("ProductID",INDEX(tblTrans[ProductID],204)))),"",_xlfn.XLOOKUP(B205,tblProducts[ProductID],tblProducts[Supplier],"")),"")</f>
        <v/>
      </c>
      <c r="I205" t="str">
        <f>IFERROR(IF(OR(INDEX(tblTrans[ProductID],204)="",ISNUMBER(SEARCH("ProductID",INDEX(tblTrans[ProductID],204)))),"",D205*_xlfn.XLOOKUP(B205,tblProducts[ProductID],tblProducts[UnitCost],0)),"")</f>
        <v/>
      </c>
    </row>
    <row r="206" spans="1:9" x14ac:dyDescent="0.3">
      <c r="A206" s="5" t="str">
        <f>IFERROR(IF(OR(INDEX(tblTrans[ProductID],205)="",ISNUMBER(SEARCH("ProductID",INDEX(tblTrans[ProductID],205)))),"",INDEX(tblTrans[Date],205)),"")</f>
        <v/>
      </c>
      <c r="B206" t="str">
        <f>IFERROR(IF(OR(INDEX(tblTrans[ProductID],205)="",ISNUMBER(SEARCH("ProductID",INDEX(tblTrans[ProductID],205)))),"",INDEX(tblTrans[ProductID],205)),"")</f>
        <v/>
      </c>
      <c r="C206" t="str">
        <f>IFERROR(IF(OR(INDEX(tblTrans[ProductID],205)="",ISNUMBER(SEARCH("ProductID",INDEX(tblTrans[ProductID],205)))),"",INDEX(tblTrans[Location],205)),"")</f>
        <v/>
      </c>
      <c r="D206" t="str">
        <f>IFERROR(IF(OR(INDEX(tblTrans[ProductID],205)="",ISNUMBER(SEARCH("ProductID",INDEX(tblTrans[ProductID],205)))),"",INDEX(tblTrans[Quantity],205)),"")</f>
        <v/>
      </c>
      <c r="E206" t="str">
        <f>IFERROR(IF(OR(INDEX(tblTrans[ProductID],205)="",ISNUMBER(SEARCH("ProductID",INDEX(tblTrans[ProductID],205)))),"",INDEX(tblTrans[Type],205)),"")</f>
        <v/>
      </c>
      <c r="F206" t="str">
        <f>IFERROR(IF(OR(INDEX(tblTrans[ProductID],205)="",ISNUMBER(SEARCH("ProductID",INDEX(tblTrans[ProductID],205)))),"",_xlfn.XLOOKUP(B206,tblProducts[ProductID],tblProducts[ProductName],"")),"")</f>
        <v/>
      </c>
      <c r="G206" t="str">
        <f>IFERROR(IF(OR(INDEX(tblTrans[ProductID],205)="",ISNUMBER(SEARCH("ProductID",INDEX(tblTrans[ProductID],205)))),"",_xlfn.XLOOKUP(B206,tblProducts[ProductID],tblProducts[Category],"")),"")</f>
        <v/>
      </c>
      <c r="H206" t="str">
        <f>IFERROR(IF(OR(INDEX(tblTrans[ProductID],205)="",ISNUMBER(SEARCH("ProductID",INDEX(tblTrans[ProductID],205)))),"",_xlfn.XLOOKUP(B206,tblProducts[ProductID],tblProducts[Supplier],"")),"")</f>
        <v/>
      </c>
      <c r="I206" t="str">
        <f>IFERROR(IF(OR(INDEX(tblTrans[ProductID],205)="",ISNUMBER(SEARCH("ProductID",INDEX(tblTrans[ProductID],205)))),"",D206*_xlfn.XLOOKUP(B206,tblProducts[ProductID],tblProducts[UnitCost],0)),"")</f>
        <v/>
      </c>
    </row>
    <row r="207" spans="1:9" x14ac:dyDescent="0.3">
      <c r="A207" s="5" t="str">
        <f>IFERROR(IF(OR(INDEX(tblTrans[ProductID],206)="",ISNUMBER(SEARCH("ProductID",INDEX(tblTrans[ProductID],206)))),"",INDEX(tblTrans[Date],206)),"")</f>
        <v/>
      </c>
      <c r="B207" t="str">
        <f>IFERROR(IF(OR(INDEX(tblTrans[ProductID],206)="",ISNUMBER(SEARCH("ProductID",INDEX(tblTrans[ProductID],206)))),"",INDEX(tblTrans[ProductID],206)),"")</f>
        <v/>
      </c>
      <c r="C207" t="str">
        <f>IFERROR(IF(OR(INDEX(tblTrans[ProductID],206)="",ISNUMBER(SEARCH("ProductID",INDEX(tblTrans[ProductID],206)))),"",INDEX(tblTrans[Location],206)),"")</f>
        <v/>
      </c>
      <c r="D207" t="str">
        <f>IFERROR(IF(OR(INDEX(tblTrans[ProductID],206)="",ISNUMBER(SEARCH("ProductID",INDEX(tblTrans[ProductID],206)))),"",INDEX(tblTrans[Quantity],206)),"")</f>
        <v/>
      </c>
      <c r="E207" t="str">
        <f>IFERROR(IF(OR(INDEX(tblTrans[ProductID],206)="",ISNUMBER(SEARCH("ProductID",INDEX(tblTrans[ProductID],206)))),"",INDEX(tblTrans[Type],206)),"")</f>
        <v/>
      </c>
      <c r="F207" t="str">
        <f>IFERROR(IF(OR(INDEX(tblTrans[ProductID],206)="",ISNUMBER(SEARCH("ProductID",INDEX(tblTrans[ProductID],206)))),"",_xlfn.XLOOKUP(B207,tblProducts[ProductID],tblProducts[ProductName],"")),"")</f>
        <v/>
      </c>
      <c r="G207" t="str">
        <f>IFERROR(IF(OR(INDEX(tblTrans[ProductID],206)="",ISNUMBER(SEARCH("ProductID",INDEX(tblTrans[ProductID],206)))),"",_xlfn.XLOOKUP(B207,tblProducts[ProductID],tblProducts[Category],"")),"")</f>
        <v/>
      </c>
      <c r="H207" t="str">
        <f>IFERROR(IF(OR(INDEX(tblTrans[ProductID],206)="",ISNUMBER(SEARCH("ProductID",INDEX(tblTrans[ProductID],206)))),"",_xlfn.XLOOKUP(B207,tblProducts[ProductID],tblProducts[Supplier],"")),"")</f>
        <v/>
      </c>
      <c r="I207" t="str">
        <f>IFERROR(IF(OR(INDEX(tblTrans[ProductID],206)="",ISNUMBER(SEARCH("ProductID",INDEX(tblTrans[ProductID],206)))),"",D207*_xlfn.XLOOKUP(B207,tblProducts[ProductID],tblProducts[UnitCost],0)),"")</f>
        <v/>
      </c>
    </row>
    <row r="208" spans="1:9" x14ac:dyDescent="0.3">
      <c r="A208" s="5" t="str">
        <f>IFERROR(IF(OR(INDEX(tblTrans[ProductID],207)="",ISNUMBER(SEARCH("ProductID",INDEX(tblTrans[ProductID],207)))),"",INDEX(tblTrans[Date],207)),"")</f>
        <v/>
      </c>
      <c r="B208" t="str">
        <f>IFERROR(IF(OR(INDEX(tblTrans[ProductID],207)="",ISNUMBER(SEARCH("ProductID",INDEX(tblTrans[ProductID],207)))),"",INDEX(tblTrans[ProductID],207)),"")</f>
        <v/>
      </c>
      <c r="C208" t="str">
        <f>IFERROR(IF(OR(INDEX(tblTrans[ProductID],207)="",ISNUMBER(SEARCH("ProductID",INDEX(tblTrans[ProductID],207)))),"",INDEX(tblTrans[Location],207)),"")</f>
        <v/>
      </c>
      <c r="D208" t="str">
        <f>IFERROR(IF(OR(INDEX(tblTrans[ProductID],207)="",ISNUMBER(SEARCH("ProductID",INDEX(tblTrans[ProductID],207)))),"",INDEX(tblTrans[Quantity],207)),"")</f>
        <v/>
      </c>
      <c r="E208" t="str">
        <f>IFERROR(IF(OR(INDEX(tblTrans[ProductID],207)="",ISNUMBER(SEARCH("ProductID",INDEX(tblTrans[ProductID],207)))),"",INDEX(tblTrans[Type],207)),"")</f>
        <v/>
      </c>
      <c r="F208" t="str">
        <f>IFERROR(IF(OR(INDEX(tblTrans[ProductID],207)="",ISNUMBER(SEARCH("ProductID",INDEX(tblTrans[ProductID],207)))),"",_xlfn.XLOOKUP(B208,tblProducts[ProductID],tblProducts[ProductName],"")),"")</f>
        <v/>
      </c>
      <c r="G208" t="str">
        <f>IFERROR(IF(OR(INDEX(tblTrans[ProductID],207)="",ISNUMBER(SEARCH("ProductID",INDEX(tblTrans[ProductID],207)))),"",_xlfn.XLOOKUP(B208,tblProducts[ProductID],tblProducts[Category],"")),"")</f>
        <v/>
      </c>
      <c r="H208" t="str">
        <f>IFERROR(IF(OR(INDEX(tblTrans[ProductID],207)="",ISNUMBER(SEARCH("ProductID",INDEX(tblTrans[ProductID],207)))),"",_xlfn.XLOOKUP(B208,tblProducts[ProductID],tblProducts[Supplier],"")),"")</f>
        <v/>
      </c>
      <c r="I208" t="str">
        <f>IFERROR(IF(OR(INDEX(tblTrans[ProductID],207)="",ISNUMBER(SEARCH("ProductID",INDEX(tblTrans[ProductID],207)))),"",D208*_xlfn.XLOOKUP(B208,tblProducts[ProductID],tblProducts[UnitCost],0)),"")</f>
        <v/>
      </c>
    </row>
    <row r="209" spans="1:9" x14ac:dyDescent="0.3">
      <c r="A209" s="5" t="str">
        <f>IFERROR(IF(OR(INDEX(tblTrans[ProductID],208)="",ISNUMBER(SEARCH("ProductID",INDEX(tblTrans[ProductID],208)))),"",INDEX(tblTrans[Date],208)),"")</f>
        <v/>
      </c>
      <c r="B209" t="str">
        <f>IFERROR(IF(OR(INDEX(tblTrans[ProductID],208)="",ISNUMBER(SEARCH("ProductID",INDEX(tblTrans[ProductID],208)))),"",INDEX(tblTrans[ProductID],208)),"")</f>
        <v/>
      </c>
      <c r="C209" t="str">
        <f>IFERROR(IF(OR(INDEX(tblTrans[ProductID],208)="",ISNUMBER(SEARCH("ProductID",INDEX(tblTrans[ProductID],208)))),"",INDEX(tblTrans[Location],208)),"")</f>
        <v/>
      </c>
      <c r="D209" t="str">
        <f>IFERROR(IF(OR(INDEX(tblTrans[ProductID],208)="",ISNUMBER(SEARCH("ProductID",INDEX(tblTrans[ProductID],208)))),"",INDEX(tblTrans[Quantity],208)),"")</f>
        <v/>
      </c>
      <c r="E209" t="str">
        <f>IFERROR(IF(OR(INDEX(tblTrans[ProductID],208)="",ISNUMBER(SEARCH("ProductID",INDEX(tblTrans[ProductID],208)))),"",INDEX(tblTrans[Type],208)),"")</f>
        <v/>
      </c>
      <c r="F209" t="str">
        <f>IFERROR(IF(OR(INDEX(tblTrans[ProductID],208)="",ISNUMBER(SEARCH("ProductID",INDEX(tblTrans[ProductID],208)))),"",_xlfn.XLOOKUP(B209,tblProducts[ProductID],tblProducts[ProductName],"")),"")</f>
        <v/>
      </c>
      <c r="G209" t="str">
        <f>IFERROR(IF(OR(INDEX(tblTrans[ProductID],208)="",ISNUMBER(SEARCH("ProductID",INDEX(tblTrans[ProductID],208)))),"",_xlfn.XLOOKUP(B209,tblProducts[ProductID],tblProducts[Category],"")),"")</f>
        <v/>
      </c>
      <c r="H209" t="str">
        <f>IFERROR(IF(OR(INDEX(tblTrans[ProductID],208)="",ISNUMBER(SEARCH("ProductID",INDEX(tblTrans[ProductID],208)))),"",_xlfn.XLOOKUP(B209,tblProducts[ProductID],tblProducts[Supplier],"")),"")</f>
        <v/>
      </c>
      <c r="I209" t="str">
        <f>IFERROR(IF(OR(INDEX(tblTrans[ProductID],208)="",ISNUMBER(SEARCH("ProductID",INDEX(tblTrans[ProductID],208)))),"",D209*_xlfn.XLOOKUP(B209,tblProducts[ProductID],tblProducts[UnitCost],0)),"")</f>
        <v/>
      </c>
    </row>
    <row r="210" spans="1:9" x14ac:dyDescent="0.3">
      <c r="A210" s="5" t="str">
        <f>IFERROR(IF(OR(INDEX(tblTrans[ProductID],209)="",ISNUMBER(SEARCH("ProductID",INDEX(tblTrans[ProductID],209)))),"",INDEX(tblTrans[Date],209)),"")</f>
        <v/>
      </c>
      <c r="B210" t="str">
        <f>IFERROR(IF(OR(INDEX(tblTrans[ProductID],209)="",ISNUMBER(SEARCH("ProductID",INDEX(tblTrans[ProductID],209)))),"",INDEX(tblTrans[ProductID],209)),"")</f>
        <v/>
      </c>
      <c r="C210" t="str">
        <f>IFERROR(IF(OR(INDEX(tblTrans[ProductID],209)="",ISNUMBER(SEARCH("ProductID",INDEX(tblTrans[ProductID],209)))),"",INDEX(tblTrans[Location],209)),"")</f>
        <v/>
      </c>
      <c r="D210" t="str">
        <f>IFERROR(IF(OR(INDEX(tblTrans[ProductID],209)="",ISNUMBER(SEARCH("ProductID",INDEX(tblTrans[ProductID],209)))),"",INDEX(tblTrans[Quantity],209)),"")</f>
        <v/>
      </c>
      <c r="E210" t="str">
        <f>IFERROR(IF(OR(INDEX(tblTrans[ProductID],209)="",ISNUMBER(SEARCH("ProductID",INDEX(tblTrans[ProductID],209)))),"",INDEX(tblTrans[Type],209)),"")</f>
        <v/>
      </c>
      <c r="F210" t="str">
        <f>IFERROR(IF(OR(INDEX(tblTrans[ProductID],209)="",ISNUMBER(SEARCH("ProductID",INDEX(tblTrans[ProductID],209)))),"",_xlfn.XLOOKUP(B210,tblProducts[ProductID],tblProducts[ProductName],"")),"")</f>
        <v/>
      </c>
      <c r="G210" t="str">
        <f>IFERROR(IF(OR(INDEX(tblTrans[ProductID],209)="",ISNUMBER(SEARCH("ProductID",INDEX(tblTrans[ProductID],209)))),"",_xlfn.XLOOKUP(B210,tblProducts[ProductID],tblProducts[Category],"")),"")</f>
        <v/>
      </c>
      <c r="H210" t="str">
        <f>IFERROR(IF(OR(INDEX(tblTrans[ProductID],209)="",ISNUMBER(SEARCH("ProductID",INDEX(tblTrans[ProductID],209)))),"",_xlfn.XLOOKUP(B210,tblProducts[ProductID],tblProducts[Supplier],"")),"")</f>
        <v/>
      </c>
      <c r="I210" t="str">
        <f>IFERROR(IF(OR(INDEX(tblTrans[ProductID],209)="",ISNUMBER(SEARCH("ProductID",INDEX(tblTrans[ProductID],209)))),"",D210*_xlfn.XLOOKUP(B210,tblProducts[ProductID],tblProducts[UnitCost],0)),"")</f>
        <v/>
      </c>
    </row>
    <row r="211" spans="1:9" x14ac:dyDescent="0.3">
      <c r="A211" s="5" t="str">
        <f>IFERROR(IF(OR(INDEX(tblTrans[ProductID],210)="",ISNUMBER(SEARCH("ProductID",INDEX(tblTrans[ProductID],210)))),"",INDEX(tblTrans[Date],210)),"")</f>
        <v/>
      </c>
      <c r="B211" t="str">
        <f>IFERROR(IF(OR(INDEX(tblTrans[ProductID],210)="",ISNUMBER(SEARCH("ProductID",INDEX(tblTrans[ProductID],210)))),"",INDEX(tblTrans[ProductID],210)),"")</f>
        <v/>
      </c>
      <c r="C211" t="str">
        <f>IFERROR(IF(OR(INDEX(tblTrans[ProductID],210)="",ISNUMBER(SEARCH("ProductID",INDEX(tblTrans[ProductID],210)))),"",INDEX(tblTrans[Location],210)),"")</f>
        <v/>
      </c>
      <c r="D211" t="str">
        <f>IFERROR(IF(OR(INDEX(tblTrans[ProductID],210)="",ISNUMBER(SEARCH("ProductID",INDEX(tblTrans[ProductID],210)))),"",INDEX(tblTrans[Quantity],210)),"")</f>
        <v/>
      </c>
      <c r="E211" t="str">
        <f>IFERROR(IF(OR(INDEX(tblTrans[ProductID],210)="",ISNUMBER(SEARCH("ProductID",INDEX(tblTrans[ProductID],210)))),"",INDEX(tblTrans[Type],210)),"")</f>
        <v/>
      </c>
      <c r="F211" t="str">
        <f>IFERROR(IF(OR(INDEX(tblTrans[ProductID],210)="",ISNUMBER(SEARCH("ProductID",INDEX(tblTrans[ProductID],210)))),"",_xlfn.XLOOKUP(B211,tblProducts[ProductID],tblProducts[ProductName],"")),"")</f>
        <v/>
      </c>
      <c r="G211" t="str">
        <f>IFERROR(IF(OR(INDEX(tblTrans[ProductID],210)="",ISNUMBER(SEARCH("ProductID",INDEX(tblTrans[ProductID],210)))),"",_xlfn.XLOOKUP(B211,tblProducts[ProductID],tblProducts[Category],"")),"")</f>
        <v/>
      </c>
      <c r="H211" t="str">
        <f>IFERROR(IF(OR(INDEX(tblTrans[ProductID],210)="",ISNUMBER(SEARCH("ProductID",INDEX(tblTrans[ProductID],210)))),"",_xlfn.XLOOKUP(B211,tblProducts[ProductID],tblProducts[Supplier],"")),"")</f>
        <v/>
      </c>
      <c r="I211" t="str">
        <f>IFERROR(IF(OR(INDEX(tblTrans[ProductID],210)="",ISNUMBER(SEARCH("ProductID",INDEX(tblTrans[ProductID],210)))),"",D211*_xlfn.XLOOKUP(B211,tblProducts[ProductID],tblProducts[UnitCost],0)),"")</f>
        <v/>
      </c>
    </row>
    <row r="212" spans="1:9" x14ac:dyDescent="0.3">
      <c r="A212" s="5" t="str">
        <f>IFERROR(IF(OR(INDEX(tblTrans[ProductID],211)="",ISNUMBER(SEARCH("ProductID",INDEX(tblTrans[ProductID],211)))),"",INDEX(tblTrans[Date],211)),"")</f>
        <v/>
      </c>
      <c r="B212" t="str">
        <f>IFERROR(IF(OR(INDEX(tblTrans[ProductID],211)="",ISNUMBER(SEARCH("ProductID",INDEX(tblTrans[ProductID],211)))),"",INDEX(tblTrans[ProductID],211)),"")</f>
        <v/>
      </c>
      <c r="C212" t="str">
        <f>IFERROR(IF(OR(INDEX(tblTrans[ProductID],211)="",ISNUMBER(SEARCH("ProductID",INDEX(tblTrans[ProductID],211)))),"",INDEX(tblTrans[Location],211)),"")</f>
        <v/>
      </c>
      <c r="D212" t="str">
        <f>IFERROR(IF(OR(INDEX(tblTrans[ProductID],211)="",ISNUMBER(SEARCH("ProductID",INDEX(tblTrans[ProductID],211)))),"",INDEX(tblTrans[Quantity],211)),"")</f>
        <v/>
      </c>
      <c r="E212" t="str">
        <f>IFERROR(IF(OR(INDEX(tblTrans[ProductID],211)="",ISNUMBER(SEARCH("ProductID",INDEX(tblTrans[ProductID],211)))),"",INDEX(tblTrans[Type],211)),"")</f>
        <v/>
      </c>
      <c r="F212" t="str">
        <f>IFERROR(IF(OR(INDEX(tblTrans[ProductID],211)="",ISNUMBER(SEARCH("ProductID",INDEX(tblTrans[ProductID],211)))),"",_xlfn.XLOOKUP(B212,tblProducts[ProductID],tblProducts[ProductName],"")),"")</f>
        <v/>
      </c>
      <c r="G212" t="str">
        <f>IFERROR(IF(OR(INDEX(tblTrans[ProductID],211)="",ISNUMBER(SEARCH("ProductID",INDEX(tblTrans[ProductID],211)))),"",_xlfn.XLOOKUP(B212,tblProducts[ProductID],tblProducts[Category],"")),"")</f>
        <v/>
      </c>
      <c r="H212" t="str">
        <f>IFERROR(IF(OR(INDEX(tblTrans[ProductID],211)="",ISNUMBER(SEARCH("ProductID",INDEX(tblTrans[ProductID],211)))),"",_xlfn.XLOOKUP(B212,tblProducts[ProductID],tblProducts[Supplier],"")),"")</f>
        <v/>
      </c>
      <c r="I212" t="str">
        <f>IFERROR(IF(OR(INDEX(tblTrans[ProductID],211)="",ISNUMBER(SEARCH("ProductID",INDEX(tblTrans[ProductID],211)))),"",D212*_xlfn.XLOOKUP(B212,tblProducts[ProductID],tblProducts[UnitCost],0)),"")</f>
        <v/>
      </c>
    </row>
    <row r="213" spans="1:9" x14ac:dyDescent="0.3">
      <c r="A213" s="5" t="str">
        <f>IFERROR(IF(OR(INDEX(tblTrans[ProductID],212)="",ISNUMBER(SEARCH("ProductID",INDEX(tblTrans[ProductID],212)))),"",INDEX(tblTrans[Date],212)),"")</f>
        <v/>
      </c>
      <c r="B213" t="str">
        <f>IFERROR(IF(OR(INDEX(tblTrans[ProductID],212)="",ISNUMBER(SEARCH("ProductID",INDEX(tblTrans[ProductID],212)))),"",INDEX(tblTrans[ProductID],212)),"")</f>
        <v/>
      </c>
      <c r="C213" t="str">
        <f>IFERROR(IF(OR(INDEX(tblTrans[ProductID],212)="",ISNUMBER(SEARCH("ProductID",INDEX(tblTrans[ProductID],212)))),"",INDEX(tblTrans[Location],212)),"")</f>
        <v/>
      </c>
      <c r="D213" t="str">
        <f>IFERROR(IF(OR(INDEX(tblTrans[ProductID],212)="",ISNUMBER(SEARCH("ProductID",INDEX(tblTrans[ProductID],212)))),"",INDEX(tblTrans[Quantity],212)),"")</f>
        <v/>
      </c>
      <c r="E213" t="str">
        <f>IFERROR(IF(OR(INDEX(tblTrans[ProductID],212)="",ISNUMBER(SEARCH("ProductID",INDEX(tblTrans[ProductID],212)))),"",INDEX(tblTrans[Type],212)),"")</f>
        <v/>
      </c>
      <c r="F213" t="str">
        <f>IFERROR(IF(OR(INDEX(tblTrans[ProductID],212)="",ISNUMBER(SEARCH("ProductID",INDEX(tblTrans[ProductID],212)))),"",_xlfn.XLOOKUP(B213,tblProducts[ProductID],tblProducts[ProductName],"")),"")</f>
        <v/>
      </c>
      <c r="G213" t="str">
        <f>IFERROR(IF(OR(INDEX(tblTrans[ProductID],212)="",ISNUMBER(SEARCH("ProductID",INDEX(tblTrans[ProductID],212)))),"",_xlfn.XLOOKUP(B213,tblProducts[ProductID],tblProducts[Category],"")),"")</f>
        <v/>
      </c>
      <c r="H213" t="str">
        <f>IFERROR(IF(OR(INDEX(tblTrans[ProductID],212)="",ISNUMBER(SEARCH("ProductID",INDEX(tblTrans[ProductID],212)))),"",_xlfn.XLOOKUP(B213,tblProducts[ProductID],tblProducts[Supplier],"")),"")</f>
        <v/>
      </c>
      <c r="I213" t="str">
        <f>IFERROR(IF(OR(INDEX(tblTrans[ProductID],212)="",ISNUMBER(SEARCH("ProductID",INDEX(tblTrans[ProductID],212)))),"",D213*_xlfn.XLOOKUP(B213,tblProducts[ProductID],tblProducts[UnitCost],0)),"")</f>
        <v/>
      </c>
    </row>
    <row r="214" spans="1:9" x14ac:dyDescent="0.3">
      <c r="A214" s="5" t="str">
        <f>IFERROR(IF(OR(INDEX(tblTrans[ProductID],213)="",ISNUMBER(SEARCH("ProductID",INDEX(tblTrans[ProductID],213)))),"",INDEX(tblTrans[Date],213)),"")</f>
        <v/>
      </c>
      <c r="B214" t="str">
        <f>IFERROR(IF(OR(INDEX(tblTrans[ProductID],213)="",ISNUMBER(SEARCH("ProductID",INDEX(tblTrans[ProductID],213)))),"",INDEX(tblTrans[ProductID],213)),"")</f>
        <v/>
      </c>
      <c r="C214" t="str">
        <f>IFERROR(IF(OR(INDEX(tblTrans[ProductID],213)="",ISNUMBER(SEARCH("ProductID",INDEX(tblTrans[ProductID],213)))),"",INDEX(tblTrans[Location],213)),"")</f>
        <v/>
      </c>
      <c r="D214" t="str">
        <f>IFERROR(IF(OR(INDEX(tblTrans[ProductID],213)="",ISNUMBER(SEARCH("ProductID",INDEX(tblTrans[ProductID],213)))),"",INDEX(tblTrans[Quantity],213)),"")</f>
        <v/>
      </c>
      <c r="E214" t="str">
        <f>IFERROR(IF(OR(INDEX(tblTrans[ProductID],213)="",ISNUMBER(SEARCH("ProductID",INDEX(tblTrans[ProductID],213)))),"",INDEX(tblTrans[Type],213)),"")</f>
        <v/>
      </c>
      <c r="F214" t="str">
        <f>IFERROR(IF(OR(INDEX(tblTrans[ProductID],213)="",ISNUMBER(SEARCH("ProductID",INDEX(tblTrans[ProductID],213)))),"",_xlfn.XLOOKUP(B214,tblProducts[ProductID],tblProducts[ProductName],"")),"")</f>
        <v/>
      </c>
      <c r="G214" t="str">
        <f>IFERROR(IF(OR(INDEX(tblTrans[ProductID],213)="",ISNUMBER(SEARCH("ProductID",INDEX(tblTrans[ProductID],213)))),"",_xlfn.XLOOKUP(B214,tblProducts[ProductID],tblProducts[Category],"")),"")</f>
        <v/>
      </c>
      <c r="H214" t="str">
        <f>IFERROR(IF(OR(INDEX(tblTrans[ProductID],213)="",ISNUMBER(SEARCH("ProductID",INDEX(tblTrans[ProductID],213)))),"",_xlfn.XLOOKUP(B214,tblProducts[ProductID],tblProducts[Supplier],"")),"")</f>
        <v/>
      </c>
      <c r="I214" t="str">
        <f>IFERROR(IF(OR(INDEX(tblTrans[ProductID],213)="",ISNUMBER(SEARCH("ProductID",INDEX(tblTrans[ProductID],213)))),"",D214*_xlfn.XLOOKUP(B214,tblProducts[ProductID],tblProducts[UnitCost],0)),"")</f>
        <v/>
      </c>
    </row>
    <row r="215" spans="1:9" x14ac:dyDescent="0.3">
      <c r="A215" s="5" t="str">
        <f>IFERROR(IF(OR(INDEX(tblTrans[ProductID],214)="",ISNUMBER(SEARCH("ProductID",INDEX(tblTrans[ProductID],214)))),"",INDEX(tblTrans[Date],214)),"")</f>
        <v/>
      </c>
      <c r="B215" t="str">
        <f>IFERROR(IF(OR(INDEX(tblTrans[ProductID],214)="",ISNUMBER(SEARCH("ProductID",INDEX(tblTrans[ProductID],214)))),"",INDEX(tblTrans[ProductID],214)),"")</f>
        <v/>
      </c>
      <c r="C215" t="str">
        <f>IFERROR(IF(OR(INDEX(tblTrans[ProductID],214)="",ISNUMBER(SEARCH("ProductID",INDEX(tblTrans[ProductID],214)))),"",INDEX(tblTrans[Location],214)),"")</f>
        <v/>
      </c>
      <c r="D215" t="str">
        <f>IFERROR(IF(OR(INDEX(tblTrans[ProductID],214)="",ISNUMBER(SEARCH("ProductID",INDEX(tblTrans[ProductID],214)))),"",INDEX(tblTrans[Quantity],214)),"")</f>
        <v/>
      </c>
      <c r="E215" t="str">
        <f>IFERROR(IF(OR(INDEX(tblTrans[ProductID],214)="",ISNUMBER(SEARCH("ProductID",INDEX(tblTrans[ProductID],214)))),"",INDEX(tblTrans[Type],214)),"")</f>
        <v/>
      </c>
      <c r="F215" t="str">
        <f>IFERROR(IF(OR(INDEX(tblTrans[ProductID],214)="",ISNUMBER(SEARCH("ProductID",INDEX(tblTrans[ProductID],214)))),"",_xlfn.XLOOKUP(B215,tblProducts[ProductID],tblProducts[ProductName],"")),"")</f>
        <v/>
      </c>
      <c r="G215" t="str">
        <f>IFERROR(IF(OR(INDEX(tblTrans[ProductID],214)="",ISNUMBER(SEARCH("ProductID",INDEX(tblTrans[ProductID],214)))),"",_xlfn.XLOOKUP(B215,tblProducts[ProductID],tblProducts[Category],"")),"")</f>
        <v/>
      </c>
      <c r="H215" t="str">
        <f>IFERROR(IF(OR(INDEX(tblTrans[ProductID],214)="",ISNUMBER(SEARCH("ProductID",INDEX(tblTrans[ProductID],214)))),"",_xlfn.XLOOKUP(B215,tblProducts[ProductID],tblProducts[Supplier],"")),"")</f>
        <v/>
      </c>
      <c r="I215" t="str">
        <f>IFERROR(IF(OR(INDEX(tblTrans[ProductID],214)="",ISNUMBER(SEARCH("ProductID",INDEX(tblTrans[ProductID],214)))),"",D215*_xlfn.XLOOKUP(B215,tblProducts[ProductID],tblProducts[UnitCost],0)),"")</f>
        <v/>
      </c>
    </row>
    <row r="216" spans="1:9" x14ac:dyDescent="0.3">
      <c r="A216" s="5" t="str">
        <f>IFERROR(IF(OR(INDEX(tblTrans[ProductID],215)="",ISNUMBER(SEARCH("ProductID",INDEX(tblTrans[ProductID],215)))),"",INDEX(tblTrans[Date],215)),"")</f>
        <v/>
      </c>
      <c r="B216" t="str">
        <f>IFERROR(IF(OR(INDEX(tblTrans[ProductID],215)="",ISNUMBER(SEARCH("ProductID",INDEX(tblTrans[ProductID],215)))),"",INDEX(tblTrans[ProductID],215)),"")</f>
        <v/>
      </c>
      <c r="C216" t="str">
        <f>IFERROR(IF(OR(INDEX(tblTrans[ProductID],215)="",ISNUMBER(SEARCH("ProductID",INDEX(tblTrans[ProductID],215)))),"",INDEX(tblTrans[Location],215)),"")</f>
        <v/>
      </c>
      <c r="D216" t="str">
        <f>IFERROR(IF(OR(INDEX(tblTrans[ProductID],215)="",ISNUMBER(SEARCH("ProductID",INDEX(tblTrans[ProductID],215)))),"",INDEX(tblTrans[Quantity],215)),"")</f>
        <v/>
      </c>
      <c r="E216" t="str">
        <f>IFERROR(IF(OR(INDEX(tblTrans[ProductID],215)="",ISNUMBER(SEARCH("ProductID",INDEX(tblTrans[ProductID],215)))),"",INDEX(tblTrans[Type],215)),"")</f>
        <v/>
      </c>
      <c r="F216" t="str">
        <f>IFERROR(IF(OR(INDEX(tblTrans[ProductID],215)="",ISNUMBER(SEARCH("ProductID",INDEX(tblTrans[ProductID],215)))),"",_xlfn.XLOOKUP(B216,tblProducts[ProductID],tblProducts[ProductName],"")),"")</f>
        <v/>
      </c>
      <c r="G216" t="str">
        <f>IFERROR(IF(OR(INDEX(tblTrans[ProductID],215)="",ISNUMBER(SEARCH("ProductID",INDEX(tblTrans[ProductID],215)))),"",_xlfn.XLOOKUP(B216,tblProducts[ProductID],tblProducts[Category],"")),"")</f>
        <v/>
      </c>
      <c r="H216" t="str">
        <f>IFERROR(IF(OR(INDEX(tblTrans[ProductID],215)="",ISNUMBER(SEARCH("ProductID",INDEX(tblTrans[ProductID],215)))),"",_xlfn.XLOOKUP(B216,tblProducts[ProductID],tblProducts[Supplier],"")),"")</f>
        <v/>
      </c>
      <c r="I216" t="str">
        <f>IFERROR(IF(OR(INDEX(tblTrans[ProductID],215)="",ISNUMBER(SEARCH("ProductID",INDEX(tblTrans[ProductID],215)))),"",D216*_xlfn.XLOOKUP(B216,tblProducts[ProductID],tblProducts[UnitCost],0)),"")</f>
        <v/>
      </c>
    </row>
    <row r="217" spans="1:9" x14ac:dyDescent="0.3">
      <c r="A217" s="5" t="str">
        <f>IFERROR(IF(OR(INDEX(tblTrans[ProductID],216)="",ISNUMBER(SEARCH("ProductID",INDEX(tblTrans[ProductID],216)))),"",INDEX(tblTrans[Date],216)),"")</f>
        <v/>
      </c>
      <c r="B217" t="str">
        <f>IFERROR(IF(OR(INDEX(tblTrans[ProductID],216)="",ISNUMBER(SEARCH("ProductID",INDEX(tblTrans[ProductID],216)))),"",INDEX(tblTrans[ProductID],216)),"")</f>
        <v/>
      </c>
      <c r="C217" t="str">
        <f>IFERROR(IF(OR(INDEX(tblTrans[ProductID],216)="",ISNUMBER(SEARCH("ProductID",INDEX(tblTrans[ProductID],216)))),"",INDEX(tblTrans[Location],216)),"")</f>
        <v/>
      </c>
      <c r="D217" t="str">
        <f>IFERROR(IF(OR(INDEX(tblTrans[ProductID],216)="",ISNUMBER(SEARCH("ProductID",INDEX(tblTrans[ProductID],216)))),"",INDEX(tblTrans[Quantity],216)),"")</f>
        <v/>
      </c>
      <c r="E217" t="str">
        <f>IFERROR(IF(OR(INDEX(tblTrans[ProductID],216)="",ISNUMBER(SEARCH("ProductID",INDEX(tblTrans[ProductID],216)))),"",INDEX(tblTrans[Type],216)),"")</f>
        <v/>
      </c>
      <c r="F217" t="str">
        <f>IFERROR(IF(OR(INDEX(tblTrans[ProductID],216)="",ISNUMBER(SEARCH("ProductID",INDEX(tblTrans[ProductID],216)))),"",_xlfn.XLOOKUP(B217,tblProducts[ProductID],tblProducts[ProductName],"")),"")</f>
        <v/>
      </c>
      <c r="G217" t="str">
        <f>IFERROR(IF(OR(INDEX(tblTrans[ProductID],216)="",ISNUMBER(SEARCH("ProductID",INDEX(tblTrans[ProductID],216)))),"",_xlfn.XLOOKUP(B217,tblProducts[ProductID],tblProducts[Category],"")),"")</f>
        <v/>
      </c>
      <c r="H217" t="str">
        <f>IFERROR(IF(OR(INDEX(tblTrans[ProductID],216)="",ISNUMBER(SEARCH("ProductID",INDEX(tblTrans[ProductID],216)))),"",_xlfn.XLOOKUP(B217,tblProducts[ProductID],tblProducts[Supplier],"")),"")</f>
        <v/>
      </c>
      <c r="I217" t="str">
        <f>IFERROR(IF(OR(INDEX(tblTrans[ProductID],216)="",ISNUMBER(SEARCH("ProductID",INDEX(tblTrans[ProductID],216)))),"",D217*_xlfn.XLOOKUP(B217,tblProducts[ProductID],tblProducts[UnitCost],0)),"")</f>
        <v/>
      </c>
    </row>
    <row r="218" spans="1:9" x14ac:dyDescent="0.3">
      <c r="A218" s="5" t="str">
        <f>IFERROR(IF(OR(INDEX(tblTrans[ProductID],217)="",ISNUMBER(SEARCH("ProductID",INDEX(tblTrans[ProductID],217)))),"",INDEX(tblTrans[Date],217)),"")</f>
        <v/>
      </c>
      <c r="B218" t="str">
        <f>IFERROR(IF(OR(INDEX(tblTrans[ProductID],217)="",ISNUMBER(SEARCH("ProductID",INDEX(tblTrans[ProductID],217)))),"",INDEX(tblTrans[ProductID],217)),"")</f>
        <v/>
      </c>
      <c r="C218" t="str">
        <f>IFERROR(IF(OR(INDEX(tblTrans[ProductID],217)="",ISNUMBER(SEARCH("ProductID",INDEX(tblTrans[ProductID],217)))),"",INDEX(tblTrans[Location],217)),"")</f>
        <v/>
      </c>
      <c r="D218" t="str">
        <f>IFERROR(IF(OR(INDEX(tblTrans[ProductID],217)="",ISNUMBER(SEARCH("ProductID",INDEX(tblTrans[ProductID],217)))),"",INDEX(tblTrans[Quantity],217)),"")</f>
        <v/>
      </c>
      <c r="E218" t="str">
        <f>IFERROR(IF(OR(INDEX(tblTrans[ProductID],217)="",ISNUMBER(SEARCH("ProductID",INDEX(tblTrans[ProductID],217)))),"",INDEX(tblTrans[Type],217)),"")</f>
        <v/>
      </c>
      <c r="F218" t="str">
        <f>IFERROR(IF(OR(INDEX(tblTrans[ProductID],217)="",ISNUMBER(SEARCH("ProductID",INDEX(tblTrans[ProductID],217)))),"",_xlfn.XLOOKUP(B218,tblProducts[ProductID],tblProducts[ProductName],"")),"")</f>
        <v/>
      </c>
      <c r="G218" t="str">
        <f>IFERROR(IF(OR(INDEX(tblTrans[ProductID],217)="",ISNUMBER(SEARCH("ProductID",INDEX(tblTrans[ProductID],217)))),"",_xlfn.XLOOKUP(B218,tblProducts[ProductID],tblProducts[Category],"")),"")</f>
        <v/>
      </c>
      <c r="H218" t="str">
        <f>IFERROR(IF(OR(INDEX(tblTrans[ProductID],217)="",ISNUMBER(SEARCH("ProductID",INDEX(tblTrans[ProductID],217)))),"",_xlfn.XLOOKUP(B218,tblProducts[ProductID],tblProducts[Supplier],"")),"")</f>
        <v/>
      </c>
      <c r="I218" t="str">
        <f>IFERROR(IF(OR(INDEX(tblTrans[ProductID],217)="",ISNUMBER(SEARCH("ProductID",INDEX(tblTrans[ProductID],217)))),"",D218*_xlfn.XLOOKUP(B218,tblProducts[ProductID],tblProducts[UnitCost],0)),"")</f>
        <v/>
      </c>
    </row>
    <row r="219" spans="1:9" x14ac:dyDescent="0.3">
      <c r="A219" s="5" t="str">
        <f>IFERROR(IF(OR(INDEX(tblTrans[ProductID],218)="",ISNUMBER(SEARCH("ProductID",INDEX(tblTrans[ProductID],218)))),"",INDEX(tblTrans[Date],218)),"")</f>
        <v/>
      </c>
      <c r="B219" t="str">
        <f>IFERROR(IF(OR(INDEX(tblTrans[ProductID],218)="",ISNUMBER(SEARCH("ProductID",INDEX(tblTrans[ProductID],218)))),"",INDEX(tblTrans[ProductID],218)),"")</f>
        <v/>
      </c>
      <c r="C219" t="str">
        <f>IFERROR(IF(OR(INDEX(tblTrans[ProductID],218)="",ISNUMBER(SEARCH("ProductID",INDEX(tblTrans[ProductID],218)))),"",INDEX(tblTrans[Location],218)),"")</f>
        <v/>
      </c>
      <c r="D219" t="str">
        <f>IFERROR(IF(OR(INDEX(tblTrans[ProductID],218)="",ISNUMBER(SEARCH("ProductID",INDEX(tblTrans[ProductID],218)))),"",INDEX(tblTrans[Quantity],218)),"")</f>
        <v/>
      </c>
      <c r="E219" t="str">
        <f>IFERROR(IF(OR(INDEX(tblTrans[ProductID],218)="",ISNUMBER(SEARCH("ProductID",INDEX(tblTrans[ProductID],218)))),"",INDEX(tblTrans[Type],218)),"")</f>
        <v/>
      </c>
      <c r="F219" t="str">
        <f>IFERROR(IF(OR(INDEX(tblTrans[ProductID],218)="",ISNUMBER(SEARCH("ProductID",INDEX(tblTrans[ProductID],218)))),"",_xlfn.XLOOKUP(B219,tblProducts[ProductID],tblProducts[ProductName],"")),"")</f>
        <v/>
      </c>
      <c r="G219" t="str">
        <f>IFERROR(IF(OR(INDEX(tblTrans[ProductID],218)="",ISNUMBER(SEARCH("ProductID",INDEX(tblTrans[ProductID],218)))),"",_xlfn.XLOOKUP(B219,tblProducts[ProductID],tblProducts[Category],"")),"")</f>
        <v/>
      </c>
      <c r="H219" t="str">
        <f>IFERROR(IF(OR(INDEX(tblTrans[ProductID],218)="",ISNUMBER(SEARCH("ProductID",INDEX(tblTrans[ProductID],218)))),"",_xlfn.XLOOKUP(B219,tblProducts[ProductID],tblProducts[Supplier],"")),"")</f>
        <v/>
      </c>
      <c r="I219" t="str">
        <f>IFERROR(IF(OR(INDEX(tblTrans[ProductID],218)="",ISNUMBER(SEARCH("ProductID",INDEX(tblTrans[ProductID],218)))),"",D219*_xlfn.XLOOKUP(B219,tblProducts[ProductID],tblProducts[UnitCost],0)),"")</f>
        <v/>
      </c>
    </row>
    <row r="220" spans="1:9" x14ac:dyDescent="0.3">
      <c r="A220" s="5" t="str">
        <f>IFERROR(IF(OR(INDEX(tblTrans[ProductID],219)="",ISNUMBER(SEARCH("ProductID",INDEX(tblTrans[ProductID],219)))),"",INDEX(tblTrans[Date],219)),"")</f>
        <v/>
      </c>
      <c r="B220" t="str">
        <f>IFERROR(IF(OR(INDEX(tblTrans[ProductID],219)="",ISNUMBER(SEARCH("ProductID",INDEX(tblTrans[ProductID],219)))),"",INDEX(tblTrans[ProductID],219)),"")</f>
        <v/>
      </c>
      <c r="C220" t="str">
        <f>IFERROR(IF(OR(INDEX(tblTrans[ProductID],219)="",ISNUMBER(SEARCH("ProductID",INDEX(tblTrans[ProductID],219)))),"",INDEX(tblTrans[Location],219)),"")</f>
        <v/>
      </c>
      <c r="D220" t="str">
        <f>IFERROR(IF(OR(INDEX(tblTrans[ProductID],219)="",ISNUMBER(SEARCH("ProductID",INDEX(tblTrans[ProductID],219)))),"",INDEX(tblTrans[Quantity],219)),"")</f>
        <v/>
      </c>
      <c r="E220" t="str">
        <f>IFERROR(IF(OR(INDEX(tblTrans[ProductID],219)="",ISNUMBER(SEARCH("ProductID",INDEX(tblTrans[ProductID],219)))),"",INDEX(tblTrans[Type],219)),"")</f>
        <v/>
      </c>
      <c r="F220" t="str">
        <f>IFERROR(IF(OR(INDEX(tblTrans[ProductID],219)="",ISNUMBER(SEARCH("ProductID",INDEX(tblTrans[ProductID],219)))),"",_xlfn.XLOOKUP(B220,tblProducts[ProductID],tblProducts[ProductName],"")),"")</f>
        <v/>
      </c>
      <c r="G220" t="str">
        <f>IFERROR(IF(OR(INDEX(tblTrans[ProductID],219)="",ISNUMBER(SEARCH("ProductID",INDEX(tblTrans[ProductID],219)))),"",_xlfn.XLOOKUP(B220,tblProducts[ProductID],tblProducts[Category],"")),"")</f>
        <v/>
      </c>
      <c r="H220" t="str">
        <f>IFERROR(IF(OR(INDEX(tblTrans[ProductID],219)="",ISNUMBER(SEARCH("ProductID",INDEX(tblTrans[ProductID],219)))),"",_xlfn.XLOOKUP(B220,tblProducts[ProductID],tblProducts[Supplier],"")),"")</f>
        <v/>
      </c>
      <c r="I220" t="str">
        <f>IFERROR(IF(OR(INDEX(tblTrans[ProductID],219)="",ISNUMBER(SEARCH("ProductID",INDEX(tblTrans[ProductID],219)))),"",D220*_xlfn.XLOOKUP(B220,tblProducts[ProductID],tblProducts[UnitCost],0)),"")</f>
        <v/>
      </c>
    </row>
    <row r="221" spans="1:9" x14ac:dyDescent="0.3">
      <c r="A221" s="5" t="str">
        <f>IFERROR(IF(OR(INDEX(tblTrans[ProductID],220)="",ISNUMBER(SEARCH("ProductID",INDEX(tblTrans[ProductID],220)))),"",INDEX(tblTrans[Date],220)),"")</f>
        <v/>
      </c>
      <c r="B221" t="str">
        <f>IFERROR(IF(OR(INDEX(tblTrans[ProductID],220)="",ISNUMBER(SEARCH("ProductID",INDEX(tblTrans[ProductID],220)))),"",INDEX(tblTrans[ProductID],220)),"")</f>
        <v/>
      </c>
      <c r="C221" t="str">
        <f>IFERROR(IF(OR(INDEX(tblTrans[ProductID],220)="",ISNUMBER(SEARCH("ProductID",INDEX(tblTrans[ProductID],220)))),"",INDEX(tblTrans[Location],220)),"")</f>
        <v/>
      </c>
      <c r="D221" t="str">
        <f>IFERROR(IF(OR(INDEX(tblTrans[ProductID],220)="",ISNUMBER(SEARCH("ProductID",INDEX(tblTrans[ProductID],220)))),"",INDEX(tblTrans[Quantity],220)),"")</f>
        <v/>
      </c>
      <c r="E221" t="str">
        <f>IFERROR(IF(OR(INDEX(tblTrans[ProductID],220)="",ISNUMBER(SEARCH("ProductID",INDEX(tblTrans[ProductID],220)))),"",INDEX(tblTrans[Type],220)),"")</f>
        <v/>
      </c>
      <c r="F221" t="str">
        <f>IFERROR(IF(OR(INDEX(tblTrans[ProductID],220)="",ISNUMBER(SEARCH("ProductID",INDEX(tblTrans[ProductID],220)))),"",_xlfn.XLOOKUP(B221,tblProducts[ProductID],tblProducts[ProductName],"")),"")</f>
        <v/>
      </c>
      <c r="G221" t="str">
        <f>IFERROR(IF(OR(INDEX(tblTrans[ProductID],220)="",ISNUMBER(SEARCH("ProductID",INDEX(tblTrans[ProductID],220)))),"",_xlfn.XLOOKUP(B221,tblProducts[ProductID],tblProducts[Category],"")),"")</f>
        <v/>
      </c>
      <c r="H221" t="str">
        <f>IFERROR(IF(OR(INDEX(tblTrans[ProductID],220)="",ISNUMBER(SEARCH("ProductID",INDEX(tblTrans[ProductID],220)))),"",_xlfn.XLOOKUP(B221,tblProducts[ProductID],tblProducts[Supplier],"")),"")</f>
        <v/>
      </c>
      <c r="I221" t="str">
        <f>IFERROR(IF(OR(INDEX(tblTrans[ProductID],220)="",ISNUMBER(SEARCH("ProductID",INDEX(tblTrans[ProductID],220)))),"",D221*_xlfn.XLOOKUP(B221,tblProducts[ProductID],tblProducts[UnitCost],0)),"")</f>
        <v/>
      </c>
    </row>
    <row r="222" spans="1:9" x14ac:dyDescent="0.3">
      <c r="A222" s="5" t="str">
        <f>IFERROR(IF(OR(INDEX(tblTrans[ProductID],221)="",ISNUMBER(SEARCH("ProductID",INDEX(tblTrans[ProductID],221)))),"",INDEX(tblTrans[Date],221)),"")</f>
        <v/>
      </c>
      <c r="B222" t="str">
        <f>IFERROR(IF(OR(INDEX(tblTrans[ProductID],221)="",ISNUMBER(SEARCH("ProductID",INDEX(tblTrans[ProductID],221)))),"",INDEX(tblTrans[ProductID],221)),"")</f>
        <v/>
      </c>
      <c r="C222" t="str">
        <f>IFERROR(IF(OR(INDEX(tblTrans[ProductID],221)="",ISNUMBER(SEARCH("ProductID",INDEX(tblTrans[ProductID],221)))),"",INDEX(tblTrans[Location],221)),"")</f>
        <v/>
      </c>
      <c r="D222" t="str">
        <f>IFERROR(IF(OR(INDEX(tblTrans[ProductID],221)="",ISNUMBER(SEARCH("ProductID",INDEX(tblTrans[ProductID],221)))),"",INDEX(tblTrans[Quantity],221)),"")</f>
        <v/>
      </c>
      <c r="E222" t="str">
        <f>IFERROR(IF(OR(INDEX(tblTrans[ProductID],221)="",ISNUMBER(SEARCH("ProductID",INDEX(tblTrans[ProductID],221)))),"",INDEX(tblTrans[Type],221)),"")</f>
        <v/>
      </c>
      <c r="F222" t="str">
        <f>IFERROR(IF(OR(INDEX(tblTrans[ProductID],221)="",ISNUMBER(SEARCH("ProductID",INDEX(tblTrans[ProductID],221)))),"",_xlfn.XLOOKUP(B222,tblProducts[ProductID],tblProducts[ProductName],"")),"")</f>
        <v/>
      </c>
      <c r="G222" t="str">
        <f>IFERROR(IF(OR(INDEX(tblTrans[ProductID],221)="",ISNUMBER(SEARCH("ProductID",INDEX(tblTrans[ProductID],221)))),"",_xlfn.XLOOKUP(B222,tblProducts[ProductID],tblProducts[Category],"")),"")</f>
        <v/>
      </c>
      <c r="H222" t="str">
        <f>IFERROR(IF(OR(INDEX(tblTrans[ProductID],221)="",ISNUMBER(SEARCH("ProductID",INDEX(tblTrans[ProductID],221)))),"",_xlfn.XLOOKUP(B222,tblProducts[ProductID],tblProducts[Supplier],"")),"")</f>
        <v/>
      </c>
      <c r="I222" t="str">
        <f>IFERROR(IF(OR(INDEX(tblTrans[ProductID],221)="",ISNUMBER(SEARCH("ProductID",INDEX(tblTrans[ProductID],221)))),"",D222*_xlfn.XLOOKUP(B222,tblProducts[ProductID],tblProducts[UnitCost],0)),"")</f>
        <v/>
      </c>
    </row>
    <row r="223" spans="1:9" x14ac:dyDescent="0.3">
      <c r="A223" s="5" t="str">
        <f>IFERROR(IF(OR(INDEX(tblTrans[ProductID],222)="",ISNUMBER(SEARCH("ProductID",INDEX(tblTrans[ProductID],222)))),"",INDEX(tblTrans[Date],222)),"")</f>
        <v/>
      </c>
      <c r="B223" t="str">
        <f>IFERROR(IF(OR(INDEX(tblTrans[ProductID],222)="",ISNUMBER(SEARCH("ProductID",INDEX(tblTrans[ProductID],222)))),"",INDEX(tblTrans[ProductID],222)),"")</f>
        <v/>
      </c>
      <c r="C223" t="str">
        <f>IFERROR(IF(OR(INDEX(tblTrans[ProductID],222)="",ISNUMBER(SEARCH("ProductID",INDEX(tblTrans[ProductID],222)))),"",INDEX(tblTrans[Location],222)),"")</f>
        <v/>
      </c>
      <c r="D223" t="str">
        <f>IFERROR(IF(OR(INDEX(tblTrans[ProductID],222)="",ISNUMBER(SEARCH("ProductID",INDEX(tblTrans[ProductID],222)))),"",INDEX(tblTrans[Quantity],222)),"")</f>
        <v/>
      </c>
      <c r="E223" t="str">
        <f>IFERROR(IF(OR(INDEX(tblTrans[ProductID],222)="",ISNUMBER(SEARCH("ProductID",INDEX(tblTrans[ProductID],222)))),"",INDEX(tblTrans[Type],222)),"")</f>
        <v/>
      </c>
      <c r="F223" t="str">
        <f>IFERROR(IF(OR(INDEX(tblTrans[ProductID],222)="",ISNUMBER(SEARCH("ProductID",INDEX(tblTrans[ProductID],222)))),"",_xlfn.XLOOKUP(B223,tblProducts[ProductID],tblProducts[ProductName],"")),"")</f>
        <v/>
      </c>
      <c r="G223" t="str">
        <f>IFERROR(IF(OR(INDEX(tblTrans[ProductID],222)="",ISNUMBER(SEARCH("ProductID",INDEX(tblTrans[ProductID],222)))),"",_xlfn.XLOOKUP(B223,tblProducts[ProductID],tblProducts[Category],"")),"")</f>
        <v/>
      </c>
      <c r="H223" t="str">
        <f>IFERROR(IF(OR(INDEX(tblTrans[ProductID],222)="",ISNUMBER(SEARCH("ProductID",INDEX(tblTrans[ProductID],222)))),"",_xlfn.XLOOKUP(B223,tblProducts[ProductID],tblProducts[Supplier],"")),"")</f>
        <v/>
      </c>
      <c r="I223" t="str">
        <f>IFERROR(IF(OR(INDEX(tblTrans[ProductID],222)="",ISNUMBER(SEARCH("ProductID",INDEX(tblTrans[ProductID],222)))),"",D223*_xlfn.XLOOKUP(B223,tblProducts[ProductID],tblProducts[UnitCost],0)),"")</f>
        <v/>
      </c>
    </row>
    <row r="224" spans="1:9" x14ac:dyDescent="0.3">
      <c r="A224" s="5" t="str">
        <f>IFERROR(IF(OR(INDEX(tblTrans[ProductID],223)="",ISNUMBER(SEARCH("ProductID",INDEX(tblTrans[ProductID],223)))),"",INDEX(tblTrans[Date],223)),"")</f>
        <v/>
      </c>
      <c r="B224" t="str">
        <f>IFERROR(IF(OR(INDEX(tblTrans[ProductID],223)="",ISNUMBER(SEARCH("ProductID",INDEX(tblTrans[ProductID],223)))),"",INDEX(tblTrans[ProductID],223)),"")</f>
        <v/>
      </c>
      <c r="C224" t="str">
        <f>IFERROR(IF(OR(INDEX(tblTrans[ProductID],223)="",ISNUMBER(SEARCH("ProductID",INDEX(tblTrans[ProductID],223)))),"",INDEX(tblTrans[Location],223)),"")</f>
        <v/>
      </c>
      <c r="D224" t="str">
        <f>IFERROR(IF(OR(INDEX(tblTrans[ProductID],223)="",ISNUMBER(SEARCH("ProductID",INDEX(tblTrans[ProductID],223)))),"",INDEX(tblTrans[Quantity],223)),"")</f>
        <v/>
      </c>
      <c r="E224" t="str">
        <f>IFERROR(IF(OR(INDEX(tblTrans[ProductID],223)="",ISNUMBER(SEARCH("ProductID",INDEX(tblTrans[ProductID],223)))),"",INDEX(tblTrans[Type],223)),"")</f>
        <v/>
      </c>
      <c r="F224" t="str">
        <f>IFERROR(IF(OR(INDEX(tblTrans[ProductID],223)="",ISNUMBER(SEARCH("ProductID",INDEX(tblTrans[ProductID],223)))),"",_xlfn.XLOOKUP(B224,tblProducts[ProductID],tblProducts[ProductName],"")),"")</f>
        <v/>
      </c>
      <c r="G224" t="str">
        <f>IFERROR(IF(OR(INDEX(tblTrans[ProductID],223)="",ISNUMBER(SEARCH("ProductID",INDEX(tblTrans[ProductID],223)))),"",_xlfn.XLOOKUP(B224,tblProducts[ProductID],tblProducts[Category],"")),"")</f>
        <v/>
      </c>
      <c r="H224" t="str">
        <f>IFERROR(IF(OR(INDEX(tblTrans[ProductID],223)="",ISNUMBER(SEARCH("ProductID",INDEX(tblTrans[ProductID],223)))),"",_xlfn.XLOOKUP(B224,tblProducts[ProductID],tblProducts[Supplier],"")),"")</f>
        <v/>
      </c>
      <c r="I224" t="str">
        <f>IFERROR(IF(OR(INDEX(tblTrans[ProductID],223)="",ISNUMBER(SEARCH("ProductID",INDEX(tblTrans[ProductID],223)))),"",D224*_xlfn.XLOOKUP(B224,tblProducts[ProductID],tblProducts[UnitCost],0)),"")</f>
        <v/>
      </c>
    </row>
    <row r="225" spans="1:9" x14ac:dyDescent="0.3">
      <c r="A225" s="5" t="str">
        <f>IFERROR(IF(OR(INDEX(tblTrans[ProductID],224)="",ISNUMBER(SEARCH("ProductID",INDEX(tblTrans[ProductID],224)))),"",INDEX(tblTrans[Date],224)),"")</f>
        <v/>
      </c>
      <c r="B225" t="str">
        <f>IFERROR(IF(OR(INDEX(tblTrans[ProductID],224)="",ISNUMBER(SEARCH("ProductID",INDEX(tblTrans[ProductID],224)))),"",INDEX(tblTrans[ProductID],224)),"")</f>
        <v/>
      </c>
      <c r="C225" t="str">
        <f>IFERROR(IF(OR(INDEX(tblTrans[ProductID],224)="",ISNUMBER(SEARCH("ProductID",INDEX(tblTrans[ProductID],224)))),"",INDEX(tblTrans[Location],224)),"")</f>
        <v/>
      </c>
      <c r="D225" t="str">
        <f>IFERROR(IF(OR(INDEX(tblTrans[ProductID],224)="",ISNUMBER(SEARCH("ProductID",INDEX(tblTrans[ProductID],224)))),"",INDEX(tblTrans[Quantity],224)),"")</f>
        <v/>
      </c>
      <c r="E225" t="str">
        <f>IFERROR(IF(OR(INDEX(tblTrans[ProductID],224)="",ISNUMBER(SEARCH("ProductID",INDEX(tblTrans[ProductID],224)))),"",INDEX(tblTrans[Type],224)),"")</f>
        <v/>
      </c>
      <c r="F225" t="str">
        <f>IFERROR(IF(OR(INDEX(tblTrans[ProductID],224)="",ISNUMBER(SEARCH("ProductID",INDEX(tblTrans[ProductID],224)))),"",_xlfn.XLOOKUP(B225,tblProducts[ProductID],tblProducts[ProductName],"")),"")</f>
        <v/>
      </c>
      <c r="G225" t="str">
        <f>IFERROR(IF(OR(INDEX(tblTrans[ProductID],224)="",ISNUMBER(SEARCH("ProductID",INDEX(tblTrans[ProductID],224)))),"",_xlfn.XLOOKUP(B225,tblProducts[ProductID],tblProducts[Category],"")),"")</f>
        <v/>
      </c>
      <c r="H225" t="str">
        <f>IFERROR(IF(OR(INDEX(tblTrans[ProductID],224)="",ISNUMBER(SEARCH("ProductID",INDEX(tblTrans[ProductID],224)))),"",_xlfn.XLOOKUP(B225,tblProducts[ProductID],tblProducts[Supplier],"")),"")</f>
        <v/>
      </c>
      <c r="I225" t="str">
        <f>IFERROR(IF(OR(INDEX(tblTrans[ProductID],224)="",ISNUMBER(SEARCH("ProductID",INDEX(tblTrans[ProductID],224)))),"",D225*_xlfn.XLOOKUP(B225,tblProducts[ProductID],tblProducts[UnitCost],0)),"")</f>
        <v/>
      </c>
    </row>
    <row r="226" spans="1:9" x14ac:dyDescent="0.3">
      <c r="A226" s="5" t="str">
        <f>IFERROR(IF(OR(INDEX(tblTrans[ProductID],225)="",ISNUMBER(SEARCH("ProductID",INDEX(tblTrans[ProductID],225)))),"",INDEX(tblTrans[Date],225)),"")</f>
        <v/>
      </c>
      <c r="B226" t="str">
        <f>IFERROR(IF(OR(INDEX(tblTrans[ProductID],225)="",ISNUMBER(SEARCH("ProductID",INDEX(tblTrans[ProductID],225)))),"",INDEX(tblTrans[ProductID],225)),"")</f>
        <v/>
      </c>
      <c r="C226" t="str">
        <f>IFERROR(IF(OR(INDEX(tblTrans[ProductID],225)="",ISNUMBER(SEARCH("ProductID",INDEX(tblTrans[ProductID],225)))),"",INDEX(tblTrans[Location],225)),"")</f>
        <v/>
      </c>
      <c r="D226" t="str">
        <f>IFERROR(IF(OR(INDEX(tblTrans[ProductID],225)="",ISNUMBER(SEARCH("ProductID",INDEX(tblTrans[ProductID],225)))),"",INDEX(tblTrans[Quantity],225)),"")</f>
        <v/>
      </c>
      <c r="E226" t="str">
        <f>IFERROR(IF(OR(INDEX(tblTrans[ProductID],225)="",ISNUMBER(SEARCH("ProductID",INDEX(tblTrans[ProductID],225)))),"",INDEX(tblTrans[Type],225)),"")</f>
        <v/>
      </c>
      <c r="F226" t="str">
        <f>IFERROR(IF(OR(INDEX(tblTrans[ProductID],225)="",ISNUMBER(SEARCH("ProductID",INDEX(tblTrans[ProductID],225)))),"",_xlfn.XLOOKUP(B226,tblProducts[ProductID],tblProducts[ProductName],"")),"")</f>
        <v/>
      </c>
      <c r="G226" t="str">
        <f>IFERROR(IF(OR(INDEX(tblTrans[ProductID],225)="",ISNUMBER(SEARCH("ProductID",INDEX(tblTrans[ProductID],225)))),"",_xlfn.XLOOKUP(B226,tblProducts[ProductID],tblProducts[Category],"")),"")</f>
        <v/>
      </c>
      <c r="H226" t="str">
        <f>IFERROR(IF(OR(INDEX(tblTrans[ProductID],225)="",ISNUMBER(SEARCH("ProductID",INDEX(tblTrans[ProductID],225)))),"",_xlfn.XLOOKUP(B226,tblProducts[ProductID],tblProducts[Supplier],"")),"")</f>
        <v/>
      </c>
      <c r="I226" t="str">
        <f>IFERROR(IF(OR(INDEX(tblTrans[ProductID],225)="",ISNUMBER(SEARCH("ProductID",INDEX(tblTrans[ProductID],225)))),"",D226*_xlfn.XLOOKUP(B226,tblProducts[ProductID],tblProducts[UnitCost],0)),"")</f>
        <v/>
      </c>
    </row>
    <row r="227" spans="1:9" x14ac:dyDescent="0.3">
      <c r="A227" s="5" t="str">
        <f>IFERROR(IF(OR(INDEX(tblTrans[ProductID],226)="",ISNUMBER(SEARCH("ProductID",INDEX(tblTrans[ProductID],226)))),"",INDEX(tblTrans[Date],226)),"")</f>
        <v/>
      </c>
      <c r="B227" t="str">
        <f>IFERROR(IF(OR(INDEX(tblTrans[ProductID],226)="",ISNUMBER(SEARCH("ProductID",INDEX(tblTrans[ProductID],226)))),"",INDEX(tblTrans[ProductID],226)),"")</f>
        <v/>
      </c>
      <c r="C227" t="str">
        <f>IFERROR(IF(OR(INDEX(tblTrans[ProductID],226)="",ISNUMBER(SEARCH("ProductID",INDEX(tblTrans[ProductID],226)))),"",INDEX(tblTrans[Location],226)),"")</f>
        <v/>
      </c>
      <c r="D227" t="str">
        <f>IFERROR(IF(OR(INDEX(tblTrans[ProductID],226)="",ISNUMBER(SEARCH("ProductID",INDEX(tblTrans[ProductID],226)))),"",INDEX(tblTrans[Quantity],226)),"")</f>
        <v/>
      </c>
      <c r="E227" t="str">
        <f>IFERROR(IF(OR(INDEX(tblTrans[ProductID],226)="",ISNUMBER(SEARCH("ProductID",INDEX(tblTrans[ProductID],226)))),"",INDEX(tblTrans[Type],226)),"")</f>
        <v/>
      </c>
      <c r="F227" t="str">
        <f>IFERROR(IF(OR(INDEX(tblTrans[ProductID],226)="",ISNUMBER(SEARCH("ProductID",INDEX(tblTrans[ProductID],226)))),"",_xlfn.XLOOKUP(B227,tblProducts[ProductID],tblProducts[ProductName],"")),"")</f>
        <v/>
      </c>
      <c r="G227" t="str">
        <f>IFERROR(IF(OR(INDEX(tblTrans[ProductID],226)="",ISNUMBER(SEARCH("ProductID",INDEX(tblTrans[ProductID],226)))),"",_xlfn.XLOOKUP(B227,tblProducts[ProductID],tblProducts[Category],"")),"")</f>
        <v/>
      </c>
      <c r="H227" t="str">
        <f>IFERROR(IF(OR(INDEX(tblTrans[ProductID],226)="",ISNUMBER(SEARCH("ProductID",INDEX(tblTrans[ProductID],226)))),"",_xlfn.XLOOKUP(B227,tblProducts[ProductID],tblProducts[Supplier],"")),"")</f>
        <v/>
      </c>
      <c r="I227" t="str">
        <f>IFERROR(IF(OR(INDEX(tblTrans[ProductID],226)="",ISNUMBER(SEARCH("ProductID",INDEX(tblTrans[ProductID],226)))),"",D227*_xlfn.XLOOKUP(B227,tblProducts[ProductID],tblProducts[UnitCost],0)),"")</f>
        <v/>
      </c>
    </row>
    <row r="228" spans="1:9" x14ac:dyDescent="0.3">
      <c r="A228" s="5" t="str">
        <f>IFERROR(IF(OR(INDEX(tblTrans[ProductID],227)="",ISNUMBER(SEARCH("ProductID",INDEX(tblTrans[ProductID],227)))),"",INDEX(tblTrans[Date],227)),"")</f>
        <v/>
      </c>
      <c r="B228" t="str">
        <f>IFERROR(IF(OR(INDEX(tblTrans[ProductID],227)="",ISNUMBER(SEARCH("ProductID",INDEX(tblTrans[ProductID],227)))),"",INDEX(tblTrans[ProductID],227)),"")</f>
        <v/>
      </c>
      <c r="C228" t="str">
        <f>IFERROR(IF(OR(INDEX(tblTrans[ProductID],227)="",ISNUMBER(SEARCH("ProductID",INDEX(tblTrans[ProductID],227)))),"",INDEX(tblTrans[Location],227)),"")</f>
        <v/>
      </c>
      <c r="D228" t="str">
        <f>IFERROR(IF(OR(INDEX(tblTrans[ProductID],227)="",ISNUMBER(SEARCH("ProductID",INDEX(tblTrans[ProductID],227)))),"",INDEX(tblTrans[Quantity],227)),"")</f>
        <v/>
      </c>
      <c r="E228" t="str">
        <f>IFERROR(IF(OR(INDEX(tblTrans[ProductID],227)="",ISNUMBER(SEARCH("ProductID",INDEX(tblTrans[ProductID],227)))),"",INDEX(tblTrans[Type],227)),"")</f>
        <v/>
      </c>
      <c r="F228" t="str">
        <f>IFERROR(IF(OR(INDEX(tblTrans[ProductID],227)="",ISNUMBER(SEARCH("ProductID",INDEX(tblTrans[ProductID],227)))),"",_xlfn.XLOOKUP(B228,tblProducts[ProductID],tblProducts[ProductName],"")),"")</f>
        <v/>
      </c>
      <c r="G228" t="str">
        <f>IFERROR(IF(OR(INDEX(tblTrans[ProductID],227)="",ISNUMBER(SEARCH("ProductID",INDEX(tblTrans[ProductID],227)))),"",_xlfn.XLOOKUP(B228,tblProducts[ProductID],tblProducts[Category],"")),"")</f>
        <v/>
      </c>
      <c r="H228" t="str">
        <f>IFERROR(IF(OR(INDEX(tblTrans[ProductID],227)="",ISNUMBER(SEARCH("ProductID",INDEX(tblTrans[ProductID],227)))),"",_xlfn.XLOOKUP(B228,tblProducts[ProductID],tblProducts[Supplier],"")),"")</f>
        <v/>
      </c>
      <c r="I228" t="str">
        <f>IFERROR(IF(OR(INDEX(tblTrans[ProductID],227)="",ISNUMBER(SEARCH("ProductID",INDEX(tblTrans[ProductID],227)))),"",D228*_xlfn.XLOOKUP(B228,tblProducts[ProductID],tblProducts[UnitCost],0)),"")</f>
        <v/>
      </c>
    </row>
    <row r="229" spans="1:9" x14ac:dyDescent="0.3">
      <c r="A229" s="5" t="str">
        <f>IFERROR(IF(OR(INDEX(tblTrans[ProductID],228)="",ISNUMBER(SEARCH("ProductID",INDEX(tblTrans[ProductID],228)))),"",INDEX(tblTrans[Date],228)),"")</f>
        <v/>
      </c>
      <c r="B229" t="str">
        <f>IFERROR(IF(OR(INDEX(tblTrans[ProductID],228)="",ISNUMBER(SEARCH("ProductID",INDEX(tblTrans[ProductID],228)))),"",INDEX(tblTrans[ProductID],228)),"")</f>
        <v/>
      </c>
      <c r="C229" t="str">
        <f>IFERROR(IF(OR(INDEX(tblTrans[ProductID],228)="",ISNUMBER(SEARCH("ProductID",INDEX(tblTrans[ProductID],228)))),"",INDEX(tblTrans[Location],228)),"")</f>
        <v/>
      </c>
      <c r="D229" t="str">
        <f>IFERROR(IF(OR(INDEX(tblTrans[ProductID],228)="",ISNUMBER(SEARCH("ProductID",INDEX(tblTrans[ProductID],228)))),"",INDEX(tblTrans[Quantity],228)),"")</f>
        <v/>
      </c>
      <c r="E229" t="str">
        <f>IFERROR(IF(OR(INDEX(tblTrans[ProductID],228)="",ISNUMBER(SEARCH("ProductID",INDEX(tblTrans[ProductID],228)))),"",INDEX(tblTrans[Type],228)),"")</f>
        <v/>
      </c>
      <c r="F229" t="str">
        <f>IFERROR(IF(OR(INDEX(tblTrans[ProductID],228)="",ISNUMBER(SEARCH("ProductID",INDEX(tblTrans[ProductID],228)))),"",_xlfn.XLOOKUP(B229,tblProducts[ProductID],tblProducts[ProductName],"")),"")</f>
        <v/>
      </c>
      <c r="G229" t="str">
        <f>IFERROR(IF(OR(INDEX(tblTrans[ProductID],228)="",ISNUMBER(SEARCH("ProductID",INDEX(tblTrans[ProductID],228)))),"",_xlfn.XLOOKUP(B229,tblProducts[ProductID],tblProducts[Category],"")),"")</f>
        <v/>
      </c>
      <c r="H229" t="str">
        <f>IFERROR(IF(OR(INDEX(tblTrans[ProductID],228)="",ISNUMBER(SEARCH("ProductID",INDEX(tblTrans[ProductID],228)))),"",_xlfn.XLOOKUP(B229,tblProducts[ProductID],tblProducts[Supplier],"")),"")</f>
        <v/>
      </c>
      <c r="I229" t="str">
        <f>IFERROR(IF(OR(INDEX(tblTrans[ProductID],228)="",ISNUMBER(SEARCH("ProductID",INDEX(tblTrans[ProductID],228)))),"",D229*_xlfn.XLOOKUP(B229,tblProducts[ProductID],tblProducts[UnitCost],0)),"")</f>
        <v/>
      </c>
    </row>
    <row r="230" spans="1:9" x14ac:dyDescent="0.3">
      <c r="A230" s="5" t="str">
        <f>IFERROR(IF(OR(INDEX(tblTrans[ProductID],229)="",ISNUMBER(SEARCH("ProductID",INDEX(tblTrans[ProductID],229)))),"",INDEX(tblTrans[Date],229)),"")</f>
        <v/>
      </c>
      <c r="B230" t="str">
        <f>IFERROR(IF(OR(INDEX(tblTrans[ProductID],229)="",ISNUMBER(SEARCH("ProductID",INDEX(tblTrans[ProductID],229)))),"",INDEX(tblTrans[ProductID],229)),"")</f>
        <v/>
      </c>
      <c r="C230" t="str">
        <f>IFERROR(IF(OR(INDEX(tblTrans[ProductID],229)="",ISNUMBER(SEARCH("ProductID",INDEX(tblTrans[ProductID],229)))),"",INDEX(tblTrans[Location],229)),"")</f>
        <v/>
      </c>
      <c r="D230" t="str">
        <f>IFERROR(IF(OR(INDEX(tblTrans[ProductID],229)="",ISNUMBER(SEARCH("ProductID",INDEX(tblTrans[ProductID],229)))),"",INDEX(tblTrans[Quantity],229)),"")</f>
        <v/>
      </c>
      <c r="E230" t="str">
        <f>IFERROR(IF(OR(INDEX(tblTrans[ProductID],229)="",ISNUMBER(SEARCH("ProductID",INDEX(tblTrans[ProductID],229)))),"",INDEX(tblTrans[Type],229)),"")</f>
        <v/>
      </c>
      <c r="F230" t="str">
        <f>IFERROR(IF(OR(INDEX(tblTrans[ProductID],229)="",ISNUMBER(SEARCH("ProductID",INDEX(tblTrans[ProductID],229)))),"",_xlfn.XLOOKUP(B230,tblProducts[ProductID],tblProducts[ProductName],"")),"")</f>
        <v/>
      </c>
      <c r="G230" t="str">
        <f>IFERROR(IF(OR(INDEX(tblTrans[ProductID],229)="",ISNUMBER(SEARCH("ProductID",INDEX(tblTrans[ProductID],229)))),"",_xlfn.XLOOKUP(B230,tblProducts[ProductID],tblProducts[Category],"")),"")</f>
        <v/>
      </c>
      <c r="H230" t="str">
        <f>IFERROR(IF(OR(INDEX(tblTrans[ProductID],229)="",ISNUMBER(SEARCH("ProductID",INDEX(tblTrans[ProductID],229)))),"",_xlfn.XLOOKUP(B230,tblProducts[ProductID],tblProducts[Supplier],"")),"")</f>
        <v/>
      </c>
      <c r="I230" t="str">
        <f>IFERROR(IF(OR(INDEX(tblTrans[ProductID],229)="",ISNUMBER(SEARCH("ProductID",INDEX(tblTrans[ProductID],229)))),"",D230*_xlfn.XLOOKUP(B230,tblProducts[ProductID],tblProducts[UnitCost],0)),"")</f>
        <v/>
      </c>
    </row>
    <row r="231" spans="1:9" x14ac:dyDescent="0.3">
      <c r="A231" s="5" t="str">
        <f>IFERROR(IF(OR(INDEX(tblTrans[ProductID],230)="",ISNUMBER(SEARCH("ProductID",INDEX(tblTrans[ProductID],230)))),"",INDEX(tblTrans[Date],230)),"")</f>
        <v/>
      </c>
      <c r="B231" t="str">
        <f>IFERROR(IF(OR(INDEX(tblTrans[ProductID],230)="",ISNUMBER(SEARCH("ProductID",INDEX(tblTrans[ProductID],230)))),"",INDEX(tblTrans[ProductID],230)),"")</f>
        <v/>
      </c>
      <c r="C231" t="str">
        <f>IFERROR(IF(OR(INDEX(tblTrans[ProductID],230)="",ISNUMBER(SEARCH("ProductID",INDEX(tblTrans[ProductID],230)))),"",INDEX(tblTrans[Location],230)),"")</f>
        <v/>
      </c>
      <c r="D231" t="str">
        <f>IFERROR(IF(OR(INDEX(tblTrans[ProductID],230)="",ISNUMBER(SEARCH("ProductID",INDEX(tblTrans[ProductID],230)))),"",INDEX(tblTrans[Quantity],230)),"")</f>
        <v/>
      </c>
      <c r="E231" t="str">
        <f>IFERROR(IF(OR(INDEX(tblTrans[ProductID],230)="",ISNUMBER(SEARCH("ProductID",INDEX(tblTrans[ProductID],230)))),"",INDEX(tblTrans[Type],230)),"")</f>
        <v/>
      </c>
      <c r="F231" t="str">
        <f>IFERROR(IF(OR(INDEX(tblTrans[ProductID],230)="",ISNUMBER(SEARCH("ProductID",INDEX(tblTrans[ProductID],230)))),"",_xlfn.XLOOKUP(B231,tblProducts[ProductID],tblProducts[ProductName],"")),"")</f>
        <v/>
      </c>
      <c r="G231" t="str">
        <f>IFERROR(IF(OR(INDEX(tblTrans[ProductID],230)="",ISNUMBER(SEARCH("ProductID",INDEX(tblTrans[ProductID],230)))),"",_xlfn.XLOOKUP(B231,tblProducts[ProductID],tblProducts[Category],"")),"")</f>
        <v/>
      </c>
      <c r="H231" t="str">
        <f>IFERROR(IF(OR(INDEX(tblTrans[ProductID],230)="",ISNUMBER(SEARCH("ProductID",INDEX(tblTrans[ProductID],230)))),"",_xlfn.XLOOKUP(B231,tblProducts[ProductID],tblProducts[Supplier],"")),"")</f>
        <v/>
      </c>
      <c r="I231" t="str">
        <f>IFERROR(IF(OR(INDEX(tblTrans[ProductID],230)="",ISNUMBER(SEARCH("ProductID",INDEX(tblTrans[ProductID],230)))),"",D231*_xlfn.XLOOKUP(B231,tblProducts[ProductID],tblProducts[UnitCost],0)),"")</f>
        <v/>
      </c>
    </row>
    <row r="232" spans="1:9" x14ac:dyDescent="0.3">
      <c r="A232" s="5" t="str">
        <f>IFERROR(IF(OR(INDEX(tblTrans[ProductID],231)="",ISNUMBER(SEARCH("ProductID",INDEX(tblTrans[ProductID],231)))),"",INDEX(tblTrans[Date],231)),"")</f>
        <v/>
      </c>
      <c r="B232" t="str">
        <f>IFERROR(IF(OR(INDEX(tblTrans[ProductID],231)="",ISNUMBER(SEARCH("ProductID",INDEX(tblTrans[ProductID],231)))),"",INDEX(tblTrans[ProductID],231)),"")</f>
        <v/>
      </c>
      <c r="C232" t="str">
        <f>IFERROR(IF(OR(INDEX(tblTrans[ProductID],231)="",ISNUMBER(SEARCH("ProductID",INDEX(tblTrans[ProductID],231)))),"",INDEX(tblTrans[Location],231)),"")</f>
        <v/>
      </c>
      <c r="D232" t="str">
        <f>IFERROR(IF(OR(INDEX(tblTrans[ProductID],231)="",ISNUMBER(SEARCH("ProductID",INDEX(tblTrans[ProductID],231)))),"",INDEX(tblTrans[Quantity],231)),"")</f>
        <v/>
      </c>
      <c r="E232" t="str">
        <f>IFERROR(IF(OR(INDEX(tblTrans[ProductID],231)="",ISNUMBER(SEARCH("ProductID",INDEX(tblTrans[ProductID],231)))),"",INDEX(tblTrans[Type],231)),"")</f>
        <v/>
      </c>
      <c r="F232" t="str">
        <f>IFERROR(IF(OR(INDEX(tblTrans[ProductID],231)="",ISNUMBER(SEARCH("ProductID",INDEX(tblTrans[ProductID],231)))),"",_xlfn.XLOOKUP(B232,tblProducts[ProductID],tblProducts[ProductName],"")),"")</f>
        <v/>
      </c>
      <c r="G232" t="str">
        <f>IFERROR(IF(OR(INDEX(tblTrans[ProductID],231)="",ISNUMBER(SEARCH("ProductID",INDEX(tblTrans[ProductID],231)))),"",_xlfn.XLOOKUP(B232,tblProducts[ProductID],tblProducts[Category],"")),"")</f>
        <v/>
      </c>
      <c r="H232" t="str">
        <f>IFERROR(IF(OR(INDEX(tblTrans[ProductID],231)="",ISNUMBER(SEARCH("ProductID",INDEX(tblTrans[ProductID],231)))),"",_xlfn.XLOOKUP(B232,tblProducts[ProductID],tblProducts[Supplier],"")),"")</f>
        <v/>
      </c>
      <c r="I232" t="str">
        <f>IFERROR(IF(OR(INDEX(tblTrans[ProductID],231)="",ISNUMBER(SEARCH("ProductID",INDEX(tblTrans[ProductID],231)))),"",D232*_xlfn.XLOOKUP(B232,tblProducts[ProductID],tblProducts[UnitCost],0)),"")</f>
        <v/>
      </c>
    </row>
    <row r="233" spans="1:9" x14ac:dyDescent="0.3">
      <c r="A233" s="5" t="str">
        <f>IFERROR(IF(OR(INDEX(tblTrans[ProductID],232)="",ISNUMBER(SEARCH("ProductID",INDEX(tblTrans[ProductID],232)))),"",INDEX(tblTrans[Date],232)),"")</f>
        <v/>
      </c>
      <c r="B233" t="str">
        <f>IFERROR(IF(OR(INDEX(tblTrans[ProductID],232)="",ISNUMBER(SEARCH("ProductID",INDEX(tblTrans[ProductID],232)))),"",INDEX(tblTrans[ProductID],232)),"")</f>
        <v/>
      </c>
      <c r="C233" t="str">
        <f>IFERROR(IF(OR(INDEX(tblTrans[ProductID],232)="",ISNUMBER(SEARCH("ProductID",INDEX(tblTrans[ProductID],232)))),"",INDEX(tblTrans[Location],232)),"")</f>
        <v/>
      </c>
      <c r="D233" t="str">
        <f>IFERROR(IF(OR(INDEX(tblTrans[ProductID],232)="",ISNUMBER(SEARCH("ProductID",INDEX(tblTrans[ProductID],232)))),"",INDEX(tblTrans[Quantity],232)),"")</f>
        <v/>
      </c>
      <c r="E233" t="str">
        <f>IFERROR(IF(OR(INDEX(tblTrans[ProductID],232)="",ISNUMBER(SEARCH("ProductID",INDEX(tblTrans[ProductID],232)))),"",INDEX(tblTrans[Type],232)),"")</f>
        <v/>
      </c>
      <c r="F233" t="str">
        <f>IFERROR(IF(OR(INDEX(tblTrans[ProductID],232)="",ISNUMBER(SEARCH("ProductID",INDEX(tblTrans[ProductID],232)))),"",_xlfn.XLOOKUP(B233,tblProducts[ProductID],tblProducts[ProductName],"")),"")</f>
        <v/>
      </c>
      <c r="G233" t="str">
        <f>IFERROR(IF(OR(INDEX(tblTrans[ProductID],232)="",ISNUMBER(SEARCH("ProductID",INDEX(tblTrans[ProductID],232)))),"",_xlfn.XLOOKUP(B233,tblProducts[ProductID],tblProducts[Category],"")),"")</f>
        <v/>
      </c>
      <c r="H233" t="str">
        <f>IFERROR(IF(OR(INDEX(tblTrans[ProductID],232)="",ISNUMBER(SEARCH("ProductID",INDEX(tblTrans[ProductID],232)))),"",_xlfn.XLOOKUP(B233,tblProducts[ProductID],tblProducts[Supplier],"")),"")</f>
        <v/>
      </c>
      <c r="I233" t="str">
        <f>IFERROR(IF(OR(INDEX(tblTrans[ProductID],232)="",ISNUMBER(SEARCH("ProductID",INDEX(tblTrans[ProductID],232)))),"",D233*_xlfn.XLOOKUP(B233,tblProducts[ProductID],tblProducts[UnitCost],0)),"")</f>
        <v/>
      </c>
    </row>
    <row r="234" spans="1:9" x14ac:dyDescent="0.3">
      <c r="A234" s="5" t="str">
        <f>IFERROR(IF(OR(INDEX(tblTrans[ProductID],233)="",ISNUMBER(SEARCH("ProductID",INDEX(tblTrans[ProductID],233)))),"",INDEX(tblTrans[Date],233)),"")</f>
        <v/>
      </c>
      <c r="B234" t="str">
        <f>IFERROR(IF(OR(INDEX(tblTrans[ProductID],233)="",ISNUMBER(SEARCH("ProductID",INDEX(tblTrans[ProductID],233)))),"",INDEX(tblTrans[ProductID],233)),"")</f>
        <v/>
      </c>
      <c r="C234" t="str">
        <f>IFERROR(IF(OR(INDEX(tblTrans[ProductID],233)="",ISNUMBER(SEARCH("ProductID",INDEX(tblTrans[ProductID],233)))),"",INDEX(tblTrans[Location],233)),"")</f>
        <v/>
      </c>
      <c r="D234" t="str">
        <f>IFERROR(IF(OR(INDEX(tblTrans[ProductID],233)="",ISNUMBER(SEARCH("ProductID",INDEX(tblTrans[ProductID],233)))),"",INDEX(tblTrans[Quantity],233)),"")</f>
        <v/>
      </c>
      <c r="E234" t="str">
        <f>IFERROR(IF(OR(INDEX(tblTrans[ProductID],233)="",ISNUMBER(SEARCH("ProductID",INDEX(tblTrans[ProductID],233)))),"",INDEX(tblTrans[Type],233)),"")</f>
        <v/>
      </c>
      <c r="F234" t="str">
        <f>IFERROR(IF(OR(INDEX(tblTrans[ProductID],233)="",ISNUMBER(SEARCH("ProductID",INDEX(tblTrans[ProductID],233)))),"",_xlfn.XLOOKUP(B234,tblProducts[ProductID],tblProducts[ProductName],"")),"")</f>
        <v/>
      </c>
      <c r="G234" t="str">
        <f>IFERROR(IF(OR(INDEX(tblTrans[ProductID],233)="",ISNUMBER(SEARCH("ProductID",INDEX(tblTrans[ProductID],233)))),"",_xlfn.XLOOKUP(B234,tblProducts[ProductID],tblProducts[Category],"")),"")</f>
        <v/>
      </c>
      <c r="H234" t="str">
        <f>IFERROR(IF(OR(INDEX(tblTrans[ProductID],233)="",ISNUMBER(SEARCH("ProductID",INDEX(tblTrans[ProductID],233)))),"",_xlfn.XLOOKUP(B234,tblProducts[ProductID],tblProducts[Supplier],"")),"")</f>
        <v/>
      </c>
      <c r="I234" t="str">
        <f>IFERROR(IF(OR(INDEX(tblTrans[ProductID],233)="",ISNUMBER(SEARCH("ProductID",INDEX(tblTrans[ProductID],233)))),"",D234*_xlfn.XLOOKUP(B234,tblProducts[ProductID],tblProducts[UnitCost],0)),"")</f>
        <v/>
      </c>
    </row>
    <row r="235" spans="1:9" x14ac:dyDescent="0.3">
      <c r="A235" s="5" t="str">
        <f>IFERROR(IF(OR(INDEX(tblTrans[ProductID],234)="",ISNUMBER(SEARCH("ProductID",INDEX(tblTrans[ProductID],234)))),"",INDEX(tblTrans[Date],234)),"")</f>
        <v/>
      </c>
      <c r="B235" t="str">
        <f>IFERROR(IF(OR(INDEX(tblTrans[ProductID],234)="",ISNUMBER(SEARCH("ProductID",INDEX(tblTrans[ProductID],234)))),"",INDEX(tblTrans[ProductID],234)),"")</f>
        <v/>
      </c>
      <c r="C235" t="str">
        <f>IFERROR(IF(OR(INDEX(tblTrans[ProductID],234)="",ISNUMBER(SEARCH("ProductID",INDEX(tblTrans[ProductID],234)))),"",INDEX(tblTrans[Location],234)),"")</f>
        <v/>
      </c>
      <c r="D235" t="str">
        <f>IFERROR(IF(OR(INDEX(tblTrans[ProductID],234)="",ISNUMBER(SEARCH("ProductID",INDEX(tblTrans[ProductID],234)))),"",INDEX(tblTrans[Quantity],234)),"")</f>
        <v/>
      </c>
      <c r="E235" t="str">
        <f>IFERROR(IF(OR(INDEX(tblTrans[ProductID],234)="",ISNUMBER(SEARCH("ProductID",INDEX(tblTrans[ProductID],234)))),"",INDEX(tblTrans[Type],234)),"")</f>
        <v/>
      </c>
      <c r="F235" t="str">
        <f>IFERROR(IF(OR(INDEX(tblTrans[ProductID],234)="",ISNUMBER(SEARCH("ProductID",INDEX(tblTrans[ProductID],234)))),"",_xlfn.XLOOKUP(B235,tblProducts[ProductID],tblProducts[ProductName],"")),"")</f>
        <v/>
      </c>
      <c r="G235" t="str">
        <f>IFERROR(IF(OR(INDEX(tblTrans[ProductID],234)="",ISNUMBER(SEARCH("ProductID",INDEX(tblTrans[ProductID],234)))),"",_xlfn.XLOOKUP(B235,tblProducts[ProductID],tblProducts[Category],"")),"")</f>
        <v/>
      </c>
      <c r="H235" t="str">
        <f>IFERROR(IF(OR(INDEX(tblTrans[ProductID],234)="",ISNUMBER(SEARCH("ProductID",INDEX(tblTrans[ProductID],234)))),"",_xlfn.XLOOKUP(B235,tblProducts[ProductID],tblProducts[Supplier],"")),"")</f>
        <v/>
      </c>
      <c r="I235" t="str">
        <f>IFERROR(IF(OR(INDEX(tblTrans[ProductID],234)="",ISNUMBER(SEARCH("ProductID",INDEX(tblTrans[ProductID],234)))),"",D235*_xlfn.XLOOKUP(B235,tblProducts[ProductID],tblProducts[UnitCost],0)),"")</f>
        <v/>
      </c>
    </row>
    <row r="236" spans="1:9" x14ac:dyDescent="0.3">
      <c r="A236" s="5" t="str">
        <f>IFERROR(IF(OR(INDEX(tblTrans[ProductID],235)="",ISNUMBER(SEARCH("ProductID",INDEX(tblTrans[ProductID],235)))),"",INDEX(tblTrans[Date],235)),"")</f>
        <v/>
      </c>
      <c r="B236" t="str">
        <f>IFERROR(IF(OR(INDEX(tblTrans[ProductID],235)="",ISNUMBER(SEARCH("ProductID",INDEX(tblTrans[ProductID],235)))),"",INDEX(tblTrans[ProductID],235)),"")</f>
        <v/>
      </c>
      <c r="C236" t="str">
        <f>IFERROR(IF(OR(INDEX(tblTrans[ProductID],235)="",ISNUMBER(SEARCH("ProductID",INDEX(tblTrans[ProductID],235)))),"",INDEX(tblTrans[Location],235)),"")</f>
        <v/>
      </c>
      <c r="D236" t="str">
        <f>IFERROR(IF(OR(INDEX(tblTrans[ProductID],235)="",ISNUMBER(SEARCH("ProductID",INDEX(tblTrans[ProductID],235)))),"",INDEX(tblTrans[Quantity],235)),"")</f>
        <v/>
      </c>
      <c r="E236" t="str">
        <f>IFERROR(IF(OR(INDEX(tblTrans[ProductID],235)="",ISNUMBER(SEARCH("ProductID",INDEX(tblTrans[ProductID],235)))),"",INDEX(tblTrans[Type],235)),"")</f>
        <v/>
      </c>
      <c r="F236" t="str">
        <f>IFERROR(IF(OR(INDEX(tblTrans[ProductID],235)="",ISNUMBER(SEARCH("ProductID",INDEX(tblTrans[ProductID],235)))),"",_xlfn.XLOOKUP(B236,tblProducts[ProductID],tblProducts[ProductName],"")),"")</f>
        <v/>
      </c>
      <c r="G236" t="str">
        <f>IFERROR(IF(OR(INDEX(tblTrans[ProductID],235)="",ISNUMBER(SEARCH("ProductID",INDEX(tblTrans[ProductID],235)))),"",_xlfn.XLOOKUP(B236,tblProducts[ProductID],tblProducts[Category],"")),"")</f>
        <v/>
      </c>
      <c r="H236" t="str">
        <f>IFERROR(IF(OR(INDEX(tblTrans[ProductID],235)="",ISNUMBER(SEARCH("ProductID",INDEX(tblTrans[ProductID],235)))),"",_xlfn.XLOOKUP(B236,tblProducts[ProductID],tblProducts[Supplier],"")),"")</f>
        <v/>
      </c>
      <c r="I236" t="str">
        <f>IFERROR(IF(OR(INDEX(tblTrans[ProductID],235)="",ISNUMBER(SEARCH("ProductID",INDEX(tblTrans[ProductID],235)))),"",D236*_xlfn.XLOOKUP(B236,tblProducts[ProductID],tblProducts[UnitCost],0)),"")</f>
        <v/>
      </c>
    </row>
    <row r="237" spans="1:9" x14ac:dyDescent="0.3">
      <c r="A237" s="5" t="str">
        <f>IFERROR(IF(OR(INDEX(tblTrans[ProductID],236)="",ISNUMBER(SEARCH("ProductID",INDEX(tblTrans[ProductID],236)))),"",INDEX(tblTrans[Date],236)),"")</f>
        <v/>
      </c>
      <c r="B237" t="str">
        <f>IFERROR(IF(OR(INDEX(tblTrans[ProductID],236)="",ISNUMBER(SEARCH("ProductID",INDEX(tblTrans[ProductID],236)))),"",INDEX(tblTrans[ProductID],236)),"")</f>
        <v/>
      </c>
      <c r="C237" t="str">
        <f>IFERROR(IF(OR(INDEX(tblTrans[ProductID],236)="",ISNUMBER(SEARCH("ProductID",INDEX(tblTrans[ProductID],236)))),"",INDEX(tblTrans[Location],236)),"")</f>
        <v/>
      </c>
      <c r="D237" t="str">
        <f>IFERROR(IF(OR(INDEX(tblTrans[ProductID],236)="",ISNUMBER(SEARCH("ProductID",INDEX(tblTrans[ProductID],236)))),"",INDEX(tblTrans[Quantity],236)),"")</f>
        <v/>
      </c>
      <c r="E237" t="str">
        <f>IFERROR(IF(OR(INDEX(tblTrans[ProductID],236)="",ISNUMBER(SEARCH("ProductID",INDEX(tblTrans[ProductID],236)))),"",INDEX(tblTrans[Type],236)),"")</f>
        <v/>
      </c>
      <c r="F237" t="str">
        <f>IFERROR(IF(OR(INDEX(tblTrans[ProductID],236)="",ISNUMBER(SEARCH("ProductID",INDEX(tblTrans[ProductID],236)))),"",_xlfn.XLOOKUP(B237,tblProducts[ProductID],tblProducts[ProductName],"")),"")</f>
        <v/>
      </c>
      <c r="G237" t="str">
        <f>IFERROR(IF(OR(INDEX(tblTrans[ProductID],236)="",ISNUMBER(SEARCH("ProductID",INDEX(tblTrans[ProductID],236)))),"",_xlfn.XLOOKUP(B237,tblProducts[ProductID],tblProducts[Category],"")),"")</f>
        <v/>
      </c>
      <c r="H237" t="str">
        <f>IFERROR(IF(OR(INDEX(tblTrans[ProductID],236)="",ISNUMBER(SEARCH("ProductID",INDEX(tblTrans[ProductID],236)))),"",_xlfn.XLOOKUP(B237,tblProducts[ProductID],tblProducts[Supplier],"")),"")</f>
        <v/>
      </c>
      <c r="I237" t="str">
        <f>IFERROR(IF(OR(INDEX(tblTrans[ProductID],236)="",ISNUMBER(SEARCH("ProductID",INDEX(tblTrans[ProductID],236)))),"",D237*_xlfn.XLOOKUP(B237,tblProducts[ProductID],tblProducts[UnitCost],0)),"")</f>
        <v/>
      </c>
    </row>
    <row r="238" spans="1:9" x14ac:dyDescent="0.3">
      <c r="A238" s="5" t="str">
        <f>IFERROR(IF(OR(INDEX(tblTrans[ProductID],237)="",ISNUMBER(SEARCH("ProductID",INDEX(tblTrans[ProductID],237)))),"",INDEX(tblTrans[Date],237)),"")</f>
        <v/>
      </c>
      <c r="B238" t="str">
        <f>IFERROR(IF(OR(INDEX(tblTrans[ProductID],237)="",ISNUMBER(SEARCH("ProductID",INDEX(tblTrans[ProductID],237)))),"",INDEX(tblTrans[ProductID],237)),"")</f>
        <v/>
      </c>
      <c r="C238" t="str">
        <f>IFERROR(IF(OR(INDEX(tblTrans[ProductID],237)="",ISNUMBER(SEARCH("ProductID",INDEX(tblTrans[ProductID],237)))),"",INDEX(tblTrans[Location],237)),"")</f>
        <v/>
      </c>
      <c r="D238" t="str">
        <f>IFERROR(IF(OR(INDEX(tblTrans[ProductID],237)="",ISNUMBER(SEARCH("ProductID",INDEX(tblTrans[ProductID],237)))),"",INDEX(tblTrans[Quantity],237)),"")</f>
        <v/>
      </c>
      <c r="E238" t="str">
        <f>IFERROR(IF(OR(INDEX(tblTrans[ProductID],237)="",ISNUMBER(SEARCH("ProductID",INDEX(tblTrans[ProductID],237)))),"",INDEX(tblTrans[Type],237)),"")</f>
        <v/>
      </c>
      <c r="F238" t="str">
        <f>IFERROR(IF(OR(INDEX(tblTrans[ProductID],237)="",ISNUMBER(SEARCH("ProductID",INDEX(tblTrans[ProductID],237)))),"",_xlfn.XLOOKUP(B238,tblProducts[ProductID],tblProducts[ProductName],"")),"")</f>
        <v/>
      </c>
      <c r="G238" t="str">
        <f>IFERROR(IF(OR(INDEX(tblTrans[ProductID],237)="",ISNUMBER(SEARCH("ProductID",INDEX(tblTrans[ProductID],237)))),"",_xlfn.XLOOKUP(B238,tblProducts[ProductID],tblProducts[Category],"")),"")</f>
        <v/>
      </c>
      <c r="H238" t="str">
        <f>IFERROR(IF(OR(INDEX(tblTrans[ProductID],237)="",ISNUMBER(SEARCH("ProductID",INDEX(tblTrans[ProductID],237)))),"",_xlfn.XLOOKUP(B238,tblProducts[ProductID],tblProducts[Supplier],"")),"")</f>
        <v/>
      </c>
      <c r="I238" t="str">
        <f>IFERROR(IF(OR(INDEX(tblTrans[ProductID],237)="",ISNUMBER(SEARCH("ProductID",INDEX(tblTrans[ProductID],237)))),"",D238*_xlfn.XLOOKUP(B238,tblProducts[ProductID],tblProducts[UnitCost],0)),"")</f>
        <v/>
      </c>
    </row>
    <row r="239" spans="1:9" x14ac:dyDescent="0.3">
      <c r="A239" s="5" t="str">
        <f>IFERROR(IF(OR(INDEX(tblTrans[ProductID],238)="",ISNUMBER(SEARCH("ProductID",INDEX(tblTrans[ProductID],238)))),"",INDEX(tblTrans[Date],238)),"")</f>
        <v/>
      </c>
      <c r="B239" t="str">
        <f>IFERROR(IF(OR(INDEX(tblTrans[ProductID],238)="",ISNUMBER(SEARCH("ProductID",INDEX(tblTrans[ProductID],238)))),"",INDEX(tblTrans[ProductID],238)),"")</f>
        <v/>
      </c>
      <c r="C239" t="str">
        <f>IFERROR(IF(OR(INDEX(tblTrans[ProductID],238)="",ISNUMBER(SEARCH("ProductID",INDEX(tblTrans[ProductID],238)))),"",INDEX(tblTrans[Location],238)),"")</f>
        <v/>
      </c>
      <c r="D239" t="str">
        <f>IFERROR(IF(OR(INDEX(tblTrans[ProductID],238)="",ISNUMBER(SEARCH("ProductID",INDEX(tblTrans[ProductID],238)))),"",INDEX(tblTrans[Quantity],238)),"")</f>
        <v/>
      </c>
      <c r="E239" t="str">
        <f>IFERROR(IF(OR(INDEX(tblTrans[ProductID],238)="",ISNUMBER(SEARCH("ProductID",INDEX(tblTrans[ProductID],238)))),"",INDEX(tblTrans[Type],238)),"")</f>
        <v/>
      </c>
      <c r="F239" t="str">
        <f>IFERROR(IF(OR(INDEX(tblTrans[ProductID],238)="",ISNUMBER(SEARCH("ProductID",INDEX(tblTrans[ProductID],238)))),"",_xlfn.XLOOKUP(B239,tblProducts[ProductID],tblProducts[ProductName],"")),"")</f>
        <v/>
      </c>
      <c r="G239" t="str">
        <f>IFERROR(IF(OR(INDEX(tblTrans[ProductID],238)="",ISNUMBER(SEARCH("ProductID",INDEX(tblTrans[ProductID],238)))),"",_xlfn.XLOOKUP(B239,tblProducts[ProductID],tblProducts[Category],"")),"")</f>
        <v/>
      </c>
      <c r="H239" t="str">
        <f>IFERROR(IF(OR(INDEX(tblTrans[ProductID],238)="",ISNUMBER(SEARCH("ProductID",INDEX(tblTrans[ProductID],238)))),"",_xlfn.XLOOKUP(B239,tblProducts[ProductID],tblProducts[Supplier],"")),"")</f>
        <v/>
      </c>
      <c r="I239" t="str">
        <f>IFERROR(IF(OR(INDEX(tblTrans[ProductID],238)="",ISNUMBER(SEARCH("ProductID",INDEX(tblTrans[ProductID],238)))),"",D239*_xlfn.XLOOKUP(B239,tblProducts[ProductID],tblProducts[UnitCost],0)),"")</f>
        <v/>
      </c>
    </row>
    <row r="240" spans="1:9" x14ac:dyDescent="0.3">
      <c r="A240" s="5" t="str">
        <f>IFERROR(IF(OR(INDEX(tblTrans[ProductID],239)="",ISNUMBER(SEARCH("ProductID",INDEX(tblTrans[ProductID],239)))),"",INDEX(tblTrans[Date],239)),"")</f>
        <v/>
      </c>
      <c r="B240" t="str">
        <f>IFERROR(IF(OR(INDEX(tblTrans[ProductID],239)="",ISNUMBER(SEARCH("ProductID",INDEX(tblTrans[ProductID],239)))),"",INDEX(tblTrans[ProductID],239)),"")</f>
        <v/>
      </c>
      <c r="C240" t="str">
        <f>IFERROR(IF(OR(INDEX(tblTrans[ProductID],239)="",ISNUMBER(SEARCH("ProductID",INDEX(tblTrans[ProductID],239)))),"",INDEX(tblTrans[Location],239)),"")</f>
        <v/>
      </c>
      <c r="D240" t="str">
        <f>IFERROR(IF(OR(INDEX(tblTrans[ProductID],239)="",ISNUMBER(SEARCH("ProductID",INDEX(tblTrans[ProductID],239)))),"",INDEX(tblTrans[Quantity],239)),"")</f>
        <v/>
      </c>
      <c r="E240" t="str">
        <f>IFERROR(IF(OR(INDEX(tblTrans[ProductID],239)="",ISNUMBER(SEARCH("ProductID",INDEX(tblTrans[ProductID],239)))),"",INDEX(tblTrans[Type],239)),"")</f>
        <v/>
      </c>
      <c r="F240" t="str">
        <f>IFERROR(IF(OR(INDEX(tblTrans[ProductID],239)="",ISNUMBER(SEARCH("ProductID",INDEX(tblTrans[ProductID],239)))),"",_xlfn.XLOOKUP(B240,tblProducts[ProductID],tblProducts[ProductName],"")),"")</f>
        <v/>
      </c>
      <c r="G240" t="str">
        <f>IFERROR(IF(OR(INDEX(tblTrans[ProductID],239)="",ISNUMBER(SEARCH("ProductID",INDEX(tblTrans[ProductID],239)))),"",_xlfn.XLOOKUP(B240,tblProducts[ProductID],tblProducts[Category],"")),"")</f>
        <v/>
      </c>
      <c r="H240" t="str">
        <f>IFERROR(IF(OR(INDEX(tblTrans[ProductID],239)="",ISNUMBER(SEARCH("ProductID",INDEX(tblTrans[ProductID],239)))),"",_xlfn.XLOOKUP(B240,tblProducts[ProductID],tblProducts[Supplier],"")),"")</f>
        <v/>
      </c>
      <c r="I240" t="str">
        <f>IFERROR(IF(OR(INDEX(tblTrans[ProductID],239)="",ISNUMBER(SEARCH("ProductID",INDEX(tblTrans[ProductID],239)))),"",D240*_xlfn.XLOOKUP(B240,tblProducts[ProductID],tblProducts[UnitCost],0)),"")</f>
        <v/>
      </c>
    </row>
    <row r="241" spans="1:9" x14ac:dyDescent="0.3">
      <c r="A241" s="5" t="str">
        <f>IFERROR(IF(OR(INDEX(tblTrans[ProductID],240)="",ISNUMBER(SEARCH("ProductID",INDEX(tblTrans[ProductID],240)))),"",INDEX(tblTrans[Date],240)),"")</f>
        <v/>
      </c>
      <c r="B241" t="str">
        <f>IFERROR(IF(OR(INDEX(tblTrans[ProductID],240)="",ISNUMBER(SEARCH("ProductID",INDEX(tblTrans[ProductID],240)))),"",INDEX(tblTrans[ProductID],240)),"")</f>
        <v/>
      </c>
      <c r="C241" t="str">
        <f>IFERROR(IF(OR(INDEX(tblTrans[ProductID],240)="",ISNUMBER(SEARCH("ProductID",INDEX(tblTrans[ProductID],240)))),"",INDEX(tblTrans[Location],240)),"")</f>
        <v/>
      </c>
      <c r="D241" t="str">
        <f>IFERROR(IF(OR(INDEX(tblTrans[ProductID],240)="",ISNUMBER(SEARCH("ProductID",INDEX(tblTrans[ProductID],240)))),"",INDEX(tblTrans[Quantity],240)),"")</f>
        <v/>
      </c>
      <c r="E241" t="str">
        <f>IFERROR(IF(OR(INDEX(tblTrans[ProductID],240)="",ISNUMBER(SEARCH("ProductID",INDEX(tblTrans[ProductID],240)))),"",INDEX(tblTrans[Type],240)),"")</f>
        <v/>
      </c>
      <c r="F241" t="str">
        <f>IFERROR(IF(OR(INDEX(tblTrans[ProductID],240)="",ISNUMBER(SEARCH("ProductID",INDEX(tblTrans[ProductID],240)))),"",_xlfn.XLOOKUP(B241,tblProducts[ProductID],tblProducts[ProductName],"")),"")</f>
        <v/>
      </c>
      <c r="G241" t="str">
        <f>IFERROR(IF(OR(INDEX(tblTrans[ProductID],240)="",ISNUMBER(SEARCH("ProductID",INDEX(tblTrans[ProductID],240)))),"",_xlfn.XLOOKUP(B241,tblProducts[ProductID],tblProducts[Category],"")),"")</f>
        <v/>
      </c>
      <c r="H241" t="str">
        <f>IFERROR(IF(OR(INDEX(tblTrans[ProductID],240)="",ISNUMBER(SEARCH("ProductID",INDEX(tblTrans[ProductID],240)))),"",_xlfn.XLOOKUP(B241,tblProducts[ProductID],tblProducts[Supplier],"")),"")</f>
        <v/>
      </c>
      <c r="I241" t="str">
        <f>IFERROR(IF(OR(INDEX(tblTrans[ProductID],240)="",ISNUMBER(SEARCH("ProductID",INDEX(tblTrans[ProductID],240)))),"",D241*_xlfn.XLOOKUP(B241,tblProducts[ProductID],tblProducts[UnitCost],0)),"")</f>
        <v/>
      </c>
    </row>
    <row r="242" spans="1:9" x14ac:dyDescent="0.3">
      <c r="A242" s="5" t="str">
        <f>IFERROR(IF(OR(INDEX(tblTrans[ProductID],241)="",ISNUMBER(SEARCH("ProductID",INDEX(tblTrans[ProductID],241)))),"",INDEX(tblTrans[Date],241)),"")</f>
        <v/>
      </c>
      <c r="B242" t="str">
        <f>IFERROR(IF(OR(INDEX(tblTrans[ProductID],241)="",ISNUMBER(SEARCH("ProductID",INDEX(tblTrans[ProductID],241)))),"",INDEX(tblTrans[ProductID],241)),"")</f>
        <v/>
      </c>
      <c r="C242" t="str">
        <f>IFERROR(IF(OR(INDEX(tblTrans[ProductID],241)="",ISNUMBER(SEARCH("ProductID",INDEX(tblTrans[ProductID],241)))),"",INDEX(tblTrans[Location],241)),"")</f>
        <v/>
      </c>
      <c r="D242" t="str">
        <f>IFERROR(IF(OR(INDEX(tblTrans[ProductID],241)="",ISNUMBER(SEARCH("ProductID",INDEX(tblTrans[ProductID],241)))),"",INDEX(tblTrans[Quantity],241)),"")</f>
        <v/>
      </c>
      <c r="E242" t="str">
        <f>IFERROR(IF(OR(INDEX(tblTrans[ProductID],241)="",ISNUMBER(SEARCH("ProductID",INDEX(tblTrans[ProductID],241)))),"",INDEX(tblTrans[Type],241)),"")</f>
        <v/>
      </c>
      <c r="F242" t="str">
        <f>IFERROR(IF(OR(INDEX(tblTrans[ProductID],241)="",ISNUMBER(SEARCH("ProductID",INDEX(tblTrans[ProductID],241)))),"",_xlfn.XLOOKUP(B242,tblProducts[ProductID],tblProducts[ProductName],"")),"")</f>
        <v/>
      </c>
      <c r="G242" t="str">
        <f>IFERROR(IF(OR(INDEX(tblTrans[ProductID],241)="",ISNUMBER(SEARCH("ProductID",INDEX(tblTrans[ProductID],241)))),"",_xlfn.XLOOKUP(B242,tblProducts[ProductID],tblProducts[Category],"")),"")</f>
        <v/>
      </c>
      <c r="H242" t="str">
        <f>IFERROR(IF(OR(INDEX(tblTrans[ProductID],241)="",ISNUMBER(SEARCH("ProductID",INDEX(tblTrans[ProductID],241)))),"",_xlfn.XLOOKUP(B242,tblProducts[ProductID],tblProducts[Supplier],"")),"")</f>
        <v/>
      </c>
      <c r="I242" t="str">
        <f>IFERROR(IF(OR(INDEX(tblTrans[ProductID],241)="",ISNUMBER(SEARCH("ProductID",INDEX(tblTrans[ProductID],241)))),"",D242*_xlfn.XLOOKUP(B242,tblProducts[ProductID],tblProducts[UnitCost],0)),"")</f>
        <v/>
      </c>
    </row>
    <row r="243" spans="1:9" x14ac:dyDescent="0.3">
      <c r="A243" s="5" t="str">
        <f>IFERROR(IF(OR(INDEX(tblTrans[ProductID],242)="",ISNUMBER(SEARCH("ProductID",INDEX(tblTrans[ProductID],242)))),"",INDEX(tblTrans[Date],242)),"")</f>
        <v/>
      </c>
      <c r="B243" t="str">
        <f>IFERROR(IF(OR(INDEX(tblTrans[ProductID],242)="",ISNUMBER(SEARCH("ProductID",INDEX(tblTrans[ProductID],242)))),"",INDEX(tblTrans[ProductID],242)),"")</f>
        <v/>
      </c>
      <c r="C243" t="str">
        <f>IFERROR(IF(OR(INDEX(tblTrans[ProductID],242)="",ISNUMBER(SEARCH("ProductID",INDEX(tblTrans[ProductID],242)))),"",INDEX(tblTrans[Location],242)),"")</f>
        <v/>
      </c>
      <c r="D243" t="str">
        <f>IFERROR(IF(OR(INDEX(tblTrans[ProductID],242)="",ISNUMBER(SEARCH("ProductID",INDEX(tblTrans[ProductID],242)))),"",INDEX(tblTrans[Quantity],242)),"")</f>
        <v/>
      </c>
      <c r="E243" t="str">
        <f>IFERROR(IF(OR(INDEX(tblTrans[ProductID],242)="",ISNUMBER(SEARCH("ProductID",INDEX(tblTrans[ProductID],242)))),"",INDEX(tblTrans[Type],242)),"")</f>
        <v/>
      </c>
      <c r="F243" t="str">
        <f>IFERROR(IF(OR(INDEX(tblTrans[ProductID],242)="",ISNUMBER(SEARCH("ProductID",INDEX(tblTrans[ProductID],242)))),"",_xlfn.XLOOKUP(B243,tblProducts[ProductID],tblProducts[ProductName],"")),"")</f>
        <v/>
      </c>
      <c r="G243" t="str">
        <f>IFERROR(IF(OR(INDEX(tblTrans[ProductID],242)="",ISNUMBER(SEARCH("ProductID",INDEX(tblTrans[ProductID],242)))),"",_xlfn.XLOOKUP(B243,tblProducts[ProductID],tblProducts[Category],"")),"")</f>
        <v/>
      </c>
      <c r="H243" t="str">
        <f>IFERROR(IF(OR(INDEX(tblTrans[ProductID],242)="",ISNUMBER(SEARCH("ProductID",INDEX(tblTrans[ProductID],242)))),"",_xlfn.XLOOKUP(B243,tblProducts[ProductID],tblProducts[Supplier],"")),"")</f>
        <v/>
      </c>
      <c r="I243" t="str">
        <f>IFERROR(IF(OR(INDEX(tblTrans[ProductID],242)="",ISNUMBER(SEARCH("ProductID",INDEX(tblTrans[ProductID],242)))),"",D243*_xlfn.XLOOKUP(B243,tblProducts[ProductID],tblProducts[UnitCost],0)),"")</f>
        <v/>
      </c>
    </row>
    <row r="244" spans="1:9" x14ac:dyDescent="0.3">
      <c r="A244" s="5" t="str">
        <f>IFERROR(IF(OR(INDEX(tblTrans[ProductID],243)="",ISNUMBER(SEARCH("ProductID",INDEX(tblTrans[ProductID],243)))),"",INDEX(tblTrans[Date],243)),"")</f>
        <v/>
      </c>
      <c r="B244" t="str">
        <f>IFERROR(IF(OR(INDEX(tblTrans[ProductID],243)="",ISNUMBER(SEARCH("ProductID",INDEX(tblTrans[ProductID],243)))),"",INDEX(tblTrans[ProductID],243)),"")</f>
        <v/>
      </c>
      <c r="C244" t="str">
        <f>IFERROR(IF(OR(INDEX(tblTrans[ProductID],243)="",ISNUMBER(SEARCH("ProductID",INDEX(tblTrans[ProductID],243)))),"",INDEX(tblTrans[Location],243)),"")</f>
        <v/>
      </c>
      <c r="D244" t="str">
        <f>IFERROR(IF(OR(INDEX(tblTrans[ProductID],243)="",ISNUMBER(SEARCH("ProductID",INDEX(tblTrans[ProductID],243)))),"",INDEX(tblTrans[Quantity],243)),"")</f>
        <v/>
      </c>
      <c r="E244" t="str">
        <f>IFERROR(IF(OR(INDEX(tblTrans[ProductID],243)="",ISNUMBER(SEARCH("ProductID",INDEX(tblTrans[ProductID],243)))),"",INDEX(tblTrans[Type],243)),"")</f>
        <v/>
      </c>
      <c r="F244" t="str">
        <f>IFERROR(IF(OR(INDEX(tblTrans[ProductID],243)="",ISNUMBER(SEARCH("ProductID",INDEX(tblTrans[ProductID],243)))),"",_xlfn.XLOOKUP(B244,tblProducts[ProductID],tblProducts[ProductName],"")),"")</f>
        <v/>
      </c>
      <c r="G244" t="str">
        <f>IFERROR(IF(OR(INDEX(tblTrans[ProductID],243)="",ISNUMBER(SEARCH("ProductID",INDEX(tblTrans[ProductID],243)))),"",_xlfn.XLOOKUP(B244,tblProducts[ProductID],tblProducts[Category],"")),"")</f>
        <v/>
      </c>
      <c r="H244" t="str">
        <f>IFERROR(IF(OR(INDEX(tblTrans[ProductID],243)="",ISNUMBER(SEARCH("ProductID",INDEX(tblTrans[ProductID],243)))),"",_xlfn.XLOOKUP(B244,tblProducts[ProductID],tblProducts[Supplier],"")),"")</f>
        <v/>
      </c>
      <c r="I244" t="str">
        <f>IFERROR(IF(OR(INDEX(tblTrans[ProductID],243)="",ISNUMBER(SEARCH("ProductID",INDEX(tblTrans[ProductID],243)))),"",D244*_xlfn.XLOOKUP(B244,tblProducts[ProductID],tblProducts[UnitCost],0)),"")</f>
        <v/>
      </c>
    </row>
    <row r="245" spans="1:9" x14ac:dyDescent="0.3">
      <c r="A245" s="5" t="str">
        <f>IFERROR(IF(OR(INDEX(tblTrans[ProductID],244)="",ISNUMBER(SEARCH("ProductID",INDEX(tblTrans[ProductID],244)))),"",INDEX(tblTrans[Date],244)),"")</f>
        <v/>
      </c>
      <c r="B245" t="str">
        <f>IFERROR(IF(OR(INDEX(tblTrans[ProductID],244)="",ISNUMBER(SEARCH("ProductID",INDEX(tblTrans[ProductID],244)))),"",INDEX(tblTrans[ProductID],244)),"")</f>
        <v/>
      </c>
      <c r="C245" t="str">
        <f>IFERROR(IF(OR(INDEX(tblTrans[ProductID],244)="",ISNUMBER(SEARCH("ProductID",INDEX(tblTrans[ProductID],244)))),"",INDEX(tblTrans[Location],244)),"")</f>
        <v/>
      </c>
      <c r="D245" t="str">
        <f>IFERROR(IF(OR(INDEX(tblTrans[ProductID],244)="",ISNUMBER(SEARCH("ProductID",INDEX(tblTrans[ProductID],244)))),"",INDEX(tblTrans[Quantity],244)),"")</f>
        <v/>
      </c>
      <c r="E245" t="str">
        <f>IFERROR(IF(OR(INDEX(tblTrans[ProductID],244)="",ISNUMBER(SEARCH("ProductID",INDEX(tblTrans[ProductID],244)))),"",INDEX(tblTrans[Type],244)),"")</f>
        <v/>
      </c>
      <c r="F245" t="str">
        <f>IFERROR(IF(OR(INDEX(tblTrans[ProductID],244)="",ISNUMBER(SEARCH("ProductID",INDEX(tblTrans[ProductID],244)))),"",_xlfn.XLOOKUP(B245,tblProducts[ProductID],tblProducts[ProductName],"")),"")</f>
        <v/>
      </c>
      <c r="G245" t="str">
        <f>IFERROR(IF(OR(INDEX(tblTrans[ProductID],244)="",ISNUMBER(SEARCH("ProductID",INDEX(tblTrans[ProductID],244)))),"",_xlfn.XLOOKUP(B245,tblProducts[ProductID],tblProducts[Category],"")),"")</f>
        <v/>
      </c>
      <c r="H245" t="str">
        <f>IFERROR(IF(OR(INDEX(tblTrans[ProductID],244)="",ISNUMBER(SEARCH("ProductID",INDEX(tblTrans[ProductID],244)))),"",_xlfn.XLOOKUP(B245,tblProducts[ProductID],tblProducts[Supplier],"")),"")</f>
        <v/>
      </c>
      <c r="I245" t="str">
        <f>IFERROR(IF(OR(INDEX(tblTrans[ProductID],244)="",ISNUMBER(SEARCH("ProductID",INDEX(tblTrans[ProductID],244)))),"",D245*_xlfn.XLOOKUP(B245,tblProducts[ProductID],tblProducts[UnitCost],0)),"")</f>
        <v/>
      </c>
    </row>
    <row r="246" spans="1:9" x14ac:dyDescent="0.3">
      <c r="A246" s="5" t="str">
        <f>IFERROR(IF(OR(INDEX(tblTrans[ProductID],245)="",ISNUMBER(SEARCH("ProductID",INDEX(tblTrans[ProductID],245)))),"",INDEX(tblTrans[Date],245)),"")</f>
        <v/>
      </c>
      <c r="B246" t="str">
        <f>IFERROR(IF(OR(INDEX(tblTrans[ProductID],245)="",ISNUMBER(SEARCH("ProductID",INDEX(tblTrans[ProductID],245)))),"",INDEX(tblTrans[ProductID],245)),"")</f>
        <v/>
      </c>
      <c r="C246" t="str">
        <f>IFERROR(IF(OR(INDEX(tblTrans[ProductID],245)="",ISNUMBER(SEARCH("ProductID",INDEX(tblTrans[ProductID],245)))),"",INDEX(tblTrans[Location],245)),"")</f>
        <v/>
      </c>
      <c r="D246" t="str">
        <f>IFERROR(IF(OR(INDEX(tblTrans[ProductID],245)="",ISNUMBER(SEARCH("ProductID",INDEX(tblTrans[ProductID],245)))),"",INDEX(tblTrans[Quantity],245)),"")</f>
        <v/>
      </c>
      <c r="E246" t="str">
        <f>IFERROR(IF(OR(INDEX(tblTrans[ProductID],245)="",ISNUMBER(SEARCH("ProductID",INDEX(tblTrans[ProductID],245)))),"",INDEX(tblTrans[Type],245)),"")</f>
        <v/>
      </c>
      <c r="F246" t="str">
        <f>IFERROR(IF(OR(INDEX(tblTrans[ProductID],245)="",ISNUMBER(SEARCH("ProductID",INDEX(tblTrans[ProductID],245)))),"",_xlfn.XLOOKUP(B246,tblProducts[ProductID],tblProducts[ProductName],"")),"")</f>
        <v/>
      </c>
      <c r="G246" t="str">
        <f>IFERROR(IF(OR(INDEX(tblTrans[ProductID],245)="",ISNUMBER(SEARCH("ProductID",INDEX(tblTrans[ProductID],245)))),"",_xlfn.XLOOKUP(B246,tblProducts[ProductID],tblProducts[Category],"")),"")</f>
        <v/>
      </c>
      <c r="H246" t="str">
        <f>IFERROR(IF(OR(INDEX(tblTrans[ProductID],245)="",ISNUMBER(SEARCH("ProductID",INDEX(tblTrans[ProductID],245)))),"",_xlfn.XLOOKUP(B246,tblProducts[ProductID],tblProducts[Supplier],"")),"")</f>
        <v/>
      </c>
      <c r="I246" t="str">
        <f>IFERROR(IF(OR(INDEX(tblTrans[ProductID],245)="",ISNUMBER(SEARCH("ProductID",INDEX(tblTrans[ProductID],245)))),"",D246*_xlfn.XLOOKUP(B246,tblProducts[ProductID],tblProducts[UnitCost],0)),"")</f>
        <v/>
      </c>
    </row>
    <row r="247" spans="1:9" x14ac:dyDescent="0.3">
      <c r="A247" s="5" t="str">
        <f>IFERROR(IF(OR(INDEX(tblTrans[ProductID],246)="",ISNUMBER(SEARCH("ProductID",INDEX(tblTrans[ProductID],246)))),"",INDEX(tblTrans[Date],246)),"")</f>
        <v/>
      </c>
      <c r="B247" t="str">
        <f>IFERROR(IF(OR(INDEX(tblTrans[ProductID],246)="",ISNUMBER(SEARCH("ProductID",INDEX(tblTrans[ProductID],246)))),"",INDEX(tblTrans[ProductID],246)),"")</f>
        <v/>
      </c>
      <c r="C247" t="str">
        <f>IFERROR(IF(OR(INDEX(tblTrans[ProductID],246)="",ISNUMBER(SEARCH("ProductID",INDEX(tblTrans[ProductID],246)))),"",INDEX(tblTrans[Location],246)),"")</f>
        <v/>
      </c>
      <c r="D247" t="str">
        <f>IFERROR(IF(OR(INDEX(tblTrans[ProductID],246)="",ISNUMBER(SEARCH("ProductID",INDEX(tblTrans[ProductID],246)))),"",INDEX(tblTrans[Quantity],246)),"")</f>
        <v/>
      </c>
      <c r="E247" t="str">
        <f>IFERROR(IF(OR(INDEX(tblTrans[ProductID],246)="",ISNUMBER(SEARCH("ProductID",INDEX(tblTrans[ProductID],246)))),"",INDEX(tblTrans[Type],246)),"")</f>
        <v/>
      </c>
      <c r="F247" t="str">
        <f>IFERROR(IF(OR(INDEX(tblTrans[ProductID],246)="",ISNUMBER(SEARCH("ProductID",INDEX(tblTrans[ProductID],246)))),"",_xlfn.XLOOKUP(B247,tblProducts[ProductID],tblProducts[ProductName],"")),"")</f>
        <v/>
      </c>
      <c r="G247" t="str">
        <f>IFERROR(IF(OR(INDEX(tblTrans[ProductID],246)="",ISNUMBER(SEARCH("ProductID",INDEX(tblTrans[ProductID],246)))),"",_xlfn.XLOOKUP(B247,tblProducts[ProductID],tblProducts[Category],"")),"")</f>
        <v/>
      </c>
      <c r="H247" t="str">
        <f>IFERROR(IF(OR(INDEX(tblTrans[ProductID],246)="",ISNUMBER(SEARCH("ProductID",INDEX(tblTrans[ProductID],246)))),"",_xlfn.XLOOKUP(B247,tblProducts[ProductID],tblProducts[Supplier],"")),"")</f>
        <v/>
      </c>
      <c r="I247" t="str">
        <f>IFERROR(IF(OR(INDEX(tblTrans[ProductID],246)="",ISNUMBER(SEARCH("ProductID",INDEX(tblTrans[ProductID],246)))),"",D247*_xlfn.XLOOKUP(B247,tblProducts[ProductID],tblProducts[UnitCost],0)),"")</f>
        <v/>
      </c>
    </row>
    <row r="248" spans="1:9" x14ac:dyDescent="0.3">
      <c r="A248" s="5" t="str">
        <f>IFERROR(IF(OR(INDEX(tblTrans[ProductID],247)="",ISNUMBER(SEARCH("ProductID",INDEX(tblTrans[ProductID],247)))),"",INDEX(tblTrans[Date],247)),"")</f>
        <v/>
      </c>
      <c r="B248" t="str">
        <f>IFERROR(IF(OR(INDEX(tblTrans[ProductID],247)="",ISNUMBER(SEARCH("ProductID",INDEX(tblTrans[ProductID],247)))),"",INDEX(tblTrans[ProductID],247)),"")</f>
        <v/>
      </c>
      <c r="C248" t="str">
        <f>IFERROR(IF(OR(INDEX(tblTrans[ProductID],247)="",ISNUMBER(SEARCH("ProductID",INDEX(tblTrans[ProductID],247)))),"",INDEX(tblTrans[Location],247)),"")</f>
        <v/>
      </c>
      <c r="D248" t="str">
        <f>IFERROR(IF(OR(INDEX(tblTrans[ProductID],247)="",ISNUMBER(SEARCH("ProductID",INDEX(tblTrans[ProductID],247)))),"",INDEX(tblTrans[Quantity],247)),"")</f>
        <v/>
      </c>
      <c r="E248" t="str">
        <f>IFERROR(IF(OR(INDEX(tblTrans[ProductID],247)="",ISNUMBER(SEARCH("ProductID",INDEX(tblTrans[ProductID],247)))),"",INDEX(tblTrans[Type],247)),"")</f>
        <v/>
      </c>
      <c r="F248" t="str">
        <f>IFERROR(IF(OR(INDEX(tblTrans[ProductID],247)="",ISNUMBER(SEARCH("ProductID",INDEX(tblTrans[ProductID],247)))),"",_xlfn.XLOOKUP(B248,tblProducts[ProductID],tblProducts[ProductName],"")),"")</f>
        <v/>
      </c>
      <c r="G248" t="str">
        <f>IFERROR(IF(OR(INDEX(tblTrans[ProductID],247)="",ISNUMBER(SEARCH("ProductID",INDEX(tblTrans[ProductID],247)))),"",_xlfn.XLOOKUP(B248,tblProducts[ProductID],tblProducts[Category],"")),"")</f>
        <v/>
      </c>
      <c r="H248" t="str">
        <f>IFERROR(IF(OR(INDEX(tblTrans[ProductID],247)="",ISNUMBER(SEARCH("ProductID",INDEX(tblTrans[ProductID],247)))),"",_xlfn.XLOOKUP(B248,tblProducts[ProductID],tblProducts[Supplier],"")),"")</f>
        <v/>
      </c>
      <c r="I248" t="str">
        <f>IFERROR(IF(OR(INDEX(tblTrans[ProductID],247)="",ISNUMBER(SEARCH("ProductID",INDEX(tblTrans[ProductID],247)))),"",D248*_xlfn.XLOOKUP(B248,tblProducts[ProductID],tblProducts[UnitCost],0)),"")</f>
        <v/>
      </c>
    </row>
    <row r="249" spans="1:9" x14ac:dyDescent="0.3">
      <c r="A249" s="5" t="str">
        <f>IFERROR(IF(OR(INDEX(tblTrans[ProductID],248)="",ISNUMBER(SEARCH("ProductID",INDEX(tblTrans[ProductID],248)))),"",INDEX(tblTrans[Date],248)),"")</f>
        <v/>
      </c>
      <c r="B249" t="str">
        <f>IFERROR(IF(OR(INDEX(tblTrans[ProductID],248)="",ISNUMBER(SEARCH("ProductID",INDEX(tblTrans[ProductID],248)))),"",INDEX(tblTrans[ProductID],248)),"")</f>
        <v/>
      </c>
      <c r="C249" t="str">
        <f>IFERROR(IF(OR(INDEX(tblTrans[ProductID],248)="",ISNUMBER(SEARCH("ProductID",INDEX(tblTrans[ProductID],248)))),"",INDEX(tblTrans[Location],248)),"")</f>
        <v/>
      </c>
      <c r="D249" t="str">
        <f>IFERROR(IF(OR(INDEX(tblTrans[ProductID],248)="",ISNUMBER(SEARCH("ProductID",INDEX(tblTrans[ProductID],248)))),"",INDEX(tblTrans[Quantity],248)),"")</f>
        <v/>
      </c>
      <c r="E249" t="str">
        <f>IFERROR(IF(OR(INDEX(tblTrans[ProductID],248)="",ISNUMBER(SEARCH("ProductID",INDEX(tblTrans[ProductID],248)))),"",INDEX(tblTrans[Type],248)),"")</f>
        <v/>
      </c>
      <c r="F249" t="str">
        <f>IFERROR(IF(OR(INDEX(tblTrans[ProductID],248)="",ISNUMBER(SEARCH("ProductID",INDEX(tblTrans[ProductID],248)))),"",_xlfn.XLOOKUP(B249,tblProducts[ProductID],tblProducts[ProductName],"")),"")</f>
        <v/>
      </c>
      <c r="G249" t="str">
        <f>IFERROR(IF(OR(INDEX(tblTrans[ProductID],248)="",ISNUMBER(SEARCH("ProductID",INDEX(tblTrans[ProductID],248)))),"",_xlfn.XLOOKUP(B249,tblProducts[ProductID],tblProducts[Category],"")),"")</f>
        <v/>
      </c>
      <c r="H249" t="str">
        <f>IFERROR(IF(OR(INDEX(tblTrans[ProductID],248)="",ISNUMBER(SEARCH("ProductID",INDEX(tblTrans[ProductID],248)))),"",_xlfn.XLOOKUP(B249,tblProducts[ProductID],tblProducts[Supplier],"")),"")</f>
        <v/>
      </c>
      <c r="I249" t="str">
        <f>IFERROR(IF(OR(INDEX(tblTrans[ProductID],248)="",ISNUMBER(SEARCH("ProductID",INDEX(tblTrans[ProductID],248)))),"",D249*_xlfn.XLOOKUP(B249,tblProducts[ProductID],tblProducts[UnitCost],0)),"")</f>
        <v/>
      </c>
    </row>
    <row r="250" spans="1:9" x14ac:dyDescent="0.3">
      <c r="A250" s="5" t="str">
        <f>IFERROR(IF(OR(INDEX(tblTrans[ProductID],249)="",ISNUMBER(SEARCH("ProductID",INDEX(tblTrans[ProductID],249)))),"",INDEX(tblTrans[Date],249)),"")</f>
        <v/>
      </c>
      <c r="B250" t="str">
        <f>IFERROR(IF(OR(INDEX(tblTrans[ProductID],249)="",ISNUMBER(SEARCH("ProductID",INDEX(tblTrans[ProductID],249)))),"",INDEX(tblTrans[ProductID],249)),"")</f>
        <v/>
      </c>
      <c r="C250" t="str">
        <f>IFERROR(IF(OR(INDEX(tblTrans[ProductID],249)="",ISNUMBER(SEARCH("ProductID",INDEX(tblTrans[ProductID],249)))),"",INDEX(tblTrans[Location],249)),"")</f>
        <v/>
      </c>
      <c r="D250" t="str">
        <f>IFERROR(IF(OR(INDEX(tblTrans[ProductID],249)="",ISNUMBER(SEARCH("ProductID",INDEX(tblTrans[ProductID],249)))),"",INDEX(tblTrans[Quantity],249)),"")</f>
        <v/>
      </c>
      <c r="E250" t="str">
        <f>IFERROR(IF(OR(INDEX(tblTrans[ProductID],249)="",ISNUMBER(SEARCH("ProductID",INDEX(tblTrans[ProductID],249)))),"",INDEX(tblTrans[Type],249)),"")</f>
        <v/>
      </c>
      <c r="F250" t="str">
        <f>IFERROR(IF(OR(INDEX(tblTrans[ProductID],249)="",ISNUMBER(SEARCH("ProductID",INDEX(tblTrans[ProductID],249)))),"",_xlfn.XLOOKUP(B250,tblProducts[ProductID],tblProducts[ProductName],"")),"")</f>
        <v/>
      </c>
      <c r="G250" t="str">
        <f>IFERROR(IF(OR(INDEX(tblTrans[ProductID],249)="",ISNUMBER(SEARCH("ProductID",INDEX(tblTrans[ProductID],249)))),"",_xlfn.XLOOKUP(B250,tblProducts[ProductID],tblProducts[Category],"")),"")</f>
        <v/>
      </c>
      <c r="H250" t="str">
        <f>IFERROR(IF(OR(INDEX(tblTrans[ProductID],249)="",ISNUMBER(SEARCH("ProductID",INDEX(tblTrans[ProductID],249)))),"",_xlfn.XLOOKUP(B250,tblProducts[ProductID],tblProducts[Supplier],"")),"")</f>
        <v/>
      </c>
      <c r="I250" t="str">
        <f>IFERROR(IF(OR(INDEX(tblTrans[ProductID],249)="",ISNUMBER(SEARCH("ProductID",INDEX(tblTrans[ProductID],249)))),"",D250*_xlfn.XLOOKUP(B250,tblProducts[ProductID],tblProducts[UnitCost],0)),"")</f>
        <v/>
      </c>
    </row>
    <row r="251" spans="1:9" x14ac:dyDescent="0.3">
      <c r="A251" s="5" t="str">
        <f>IFERROR(IF(OR(INDEX(tblTrans[ProductID],250)="",ISNUMBER(SEARCH("ProductID",INDEX(tblTrans[ProductID],250)))),"",INDEX(tblTrans[Date],250)),"")</f>
        <v/>
      </c>
      <c r="B251" t="str">
        <f>IFERROR(IF(OR(INDEX(tblTrans[ProductID],250)="",ISNUMBER(SEARCH("ProductID",INDEX(tblTrans[ProductID],250)))),"",INDEX(tblTrans[ProductID],250)),"")</f>
        <v/>
      </c>
      <c r="C251" t="str">
        <f>IFERROR(IF(OR(INDEX(tblTrans[ProductID],250)="",ISNUMBER(SEARCH("ProductID",INDEX(tblTrans[ProductID],250)))),"",INDEX(tblTrans[Location],250)),"")</f>
        <v/>
      </c>
      <c r="D251" t="str">
        <f>IFERROR(IF(OR(INDEX(tblTrans[ProductID],250)="",ISNUMBER(SEARCH("ProductID",INDEX(tblTrans[ProductID],250)))),"",INDEX(tblTrans[Quantity],250)),"")</f>
        <v/>
      </c>
      <c r="E251" t="str">
        <f>IFERROR(IF(OR(INDEX(tblTrans[ProductID],250)="",ISNUMBER(SEARCH("ProductID",INDEX(tblTrans[ProductID],250)))),"",INDEX(tblTrans[Type],250)),"")</f>
        <v/>
      </c>
      <c r="F251" t="str">
        <f>IFERROR(IF(OR(INDEX(tblTrans[ProductID],250)="",ISNUMBER(SEARCH("ProductID",INDEX(tblTrans[ProductID],250)))),"",_xlfn.XLOOKUP(B251,tblProducts[ProductID],tblProducts[ProductName],"")),"")</f>
        <v/>
      </c>
      <c r="G251" t="str">
        <f>IFERROR(IF(OR(INDEX(tblTrans[ProductID],250)="",ISNUMBER(SEARCH("ProductID",INDEX(tblTrans[ProductID],250)))),"",_xlfn.XLOOKUP(B251,tblProducts[ProductID],tblProducts[Category],"")),"")</f>
        <v/>
      </c>
      <c r="H251" t="str">
        <f>IFERROR(IF(OR(INDEX(tblTrans[ProductID],250)="",ISNUMBER(SEARCH("ProductID",INDEX(tblTrans[ProductID],250)))),"",_xlfn.XLOOKUP(B251,tblProducts[ProductID],tblProducts[Supplier],"")),"")</f>
        <v/>
      </c>
      <c r="I251" t="str">
        <f>IFERROR(IF(OR(INDEX(tblTrans[ProductID],250)="",ISNUMBER(SEARCH("ProductID",INDEX(tblTrans[ProductID],250)))),"",D251*_xlfn.XLOOKUP(B251,tblProducts[ProductID],tblProducts[UnitCost],0)),"")</f>
        <v/>
      </c>
    </row>
    <row r="252" spans="1:9" x14ac:dyDescent="0.3">
      <c r="A252" s="5" t="str">
        <f>IFERROR(IF(OR(INDEX(tblTrans[ProductID],251)="",ISNUMBER(SEARCH("ProductID",INDEX(tblTrans[ProductID],251)))),"",INDEX(tblTrans[Date],251)),"")</f>
        <v/>
      </c>
      <c r="B252" t="str">
        <f>IFERROR(IF(OR(INDEX(tblTrans[ProductID],251)="",ISNUMBER(SEARCH("ProductID",INDEX(tblTrans[ProductID],251)))),"",INDEX(tblTrans[ProductID],251)),"")</f>
        <v/>
      </c>
      <c r="C252" t="str">
        <f>IFERROR(IF(OR(INDEX(tblTrans[ProductID],251)="",ISNUMBER(SEARCH("ProductID",INDEX(tblTrans[ProductID],251)))),"",INDEX(tblTrans[Location],251)),"")</f>
        <v/>
      </c>
      <c r="D252" t="str">
        <f>IFERROR(IF(OR(INDEX(tblTrans[ProductID],251)="",ISNUMBER(SEARCH("ProductID",INDEX(tblTrans[ProductID],251)))),"",INDEX(tblTrans[Quantity],251)),"")</f>
        <v/>
      </c>
      <c r="E252" t="str">
        <f>IFERROR(IF(OR(INDEX(tblTrans[ProductID],251)="",ISNUMBER(SEARCH("ProductID",INDEX(tblTrans[ProductID],251)))),"",INDEX(tblTrans[Type],251)),"")</f>
        <v/>
      </c>
      <c r="F252" t="str">
        <f>IFERROR(IF(OR(INDEX(tblTrans[ProductID],251)="",ISNUMBER(SEARCH("ProductID",INDEX(tblTrans[ProductID],251)))),"",_xlfn.XLOOKUP(B252,tblProducts[ProductID],tblProducts[ProductName],"")),"")</f>
        <v/>
      </c>
      <c r="G252" t="str">
        <f>IFERROR(IF(OR(INDEX(tblTrans[ProductID],251)="",ISNUMBER(SEARCH("ProductID",INDEX(tblTrans[ProductID],251)))),"",_xlfn.XLOOKUP(B252,tblProducts[ProductID],tblProducts[Category],"")),"")</f>
        <v/>
      </c>
      <c r="H252" t="str">
        <f>IFERROR(IF(OR(INDEX(tblTrans[ProductID],251)="",ISNUMBER(SEARCH("ProductID",INDEX(tblTrans[ProductID],251)))),"",_xlfn.XLOOKUP(B252,tblProducts[ProductID],tblProducts[Supplier],"")),"")</f>
        <v/>
      </c>
      <c r="I252" t="str">
        <f>IFERROR(IF(OR(INDEX(tblTrans[ProductID],251)="",ISNUMBER(SEARCH("ProductID",INDEX(tblTrans[ProductID],251)))),"",D252*_xlfn.XLOOKUP(B252,tblProducts[ProductID],tblProducts[UnitCost],0)),"")</f>
        <v/>
      </c>
    </row>
    <row r="253" spans="1:9" x14ac:dyDescent="0.3">
      <c r="A253" s="5" t="str">
        <f>IFERROR(IF(OR(INDEX(tblTrans[ProductID],252)="",ISNUMBER(SEARCH("ProductID",INDEX(tblTrans[ProductID],252)))),"",INDEX(tblTrans[Date],252)),"")</f>
        <v/>
      </c>
      <c r="B253" t="str">
        <f>IFERROR(IF(OR(INDEX(tblTrans[ProductID],252)="",ISNUMBER(SEARCH("ProductID",INDEX(tblTrans[ProductID],252)))),"",INDEX(tblTrans[ProductID],252)),"")</f>
        <v/>
      </c>
      <c r="C253" t="str">
        <f>IFERROR(IF(OR(INDEX(tblTrans[ProductID],252)="",ISNUMBER(SEARCH("ProductID",INDEX(tblTrans[ProductID],252)))),"",INDEX(tblTrans[Location],252)),"")</f>
        <v/>
      </c>
      <c r="D253" t="str">
        <f>IFERROR(IF(OR(INDEX(tblTrans[ProductID],252)="",ISNUMBER(SEARCH("ProductID",INDEX(tblTrans[ProductID],252)))),"",INDEX(tblTrans[Quantity],252)),"")</f>
        <v/>
      </c>
      <c r="E253" t="str">
        <f>IFERROR(IF(OR(INDEX(tblTrans[ProductID],252)="",ISNUMBER(SEARCH("ProductID",INDEX(tblTrans[ProductID],252)))),"",INDEX(tblTrans[Type],252)),"")</f>
        <v/>
      </c>
      <c r="F253" t="str">
        <f>IFERROR(IF(OR(INDEX(tblTrans[ProductID],252)="",ISNUMBER(SEARCH("ProductID",INDEX(tblTrans[ProductID],252)))),"",_xlfn.XLOOKUP(B253,tblProducts[ProductID],tblProducts[ProductName],"")),"")</f>
        <v/>
      </c>
      <c r="G253" t="str">
        <f>IFERROR(IF(OR(INDEX(tblTrans[ProductID],252)="",ISNUMBER(SEARCH("ProductID",INDEX(tblTrans[ProductID],252)))),"",_xlfn.XLOOKUP(B253,tblProducts[ProductID],tblProducts[Category],"")),"")</f>
        <v/>
      </c>
      <c r="H253" t="str">
        <f>IFERROR(IF(OR(INDEX(tblTrans[ProductID],252)="",ISNUMBER(SEARCH("ProductID",INDEX(tblTrans[ProductID],252)))),"",_xlfn.XLOOKUP(B253,tblProducts[ProductID],tblProducts[Supplier],"")),"")</f>
        <v/>
      </c>
      <c r="I253" t="str">
        <f>IFERROR(IF(OR(INDEX(tblTrans[ProductID],252)="",ISNUMBER(SEARCH("ProductID",INDEX(tblTrans[ProductID],252)))),"",D253*_xlfn.XLOOKUP(B253,tblProducts[ProductID],tblProducts[UnitCost],0)),"")</f>
        <v/>
      </c>
    </row>
    <row r="254" spans="1:9" x14ac:dyDescent="0.3">
      <c r="A254" s="5" t="str">
        <f>IFERROR(IF(OR(INDEX(tblTrans[ProductID],253)="",ISNUMBER(SEARCH("ProductID",INDEX(tblTrans[ProductID],253)))),"",INDEX(tblTrans[Date],253)),"")</f>
        <v/>
      </c>
      <c r="B254" t="str">
        <f>IFERROR(IF(OR(INDEX(tblTrans[ProductID],253)="",ISNUMBER(SEARCH("ProductID",INDEX(tblTrans[ProductID],253)))),"",INDEX(tblTrans[ProductID],253)),"")</f>
        <v/>
      </c>
      <c r="C254" t="str">
        <f>IFERROR(IF(OR(INDEX(tblTrans[ProductID],253)="",ISNUMBER(SEARCH("ProductID",INDEX(tblTrans[ProductID],253)))),"",INDEX(tblTrans[Location],253)),"")</f>
        <v/>
      </c>
      <c r="D254" t="str">
        <f>IFERROR(IF(OR(INDEX(tblTrans[ProductID],253)="",ISNUMBER(SEARCH("ProductID",INDEX(tblTrans[ProductID],253)))),"",INDEX(tblTrans[Quantity],253)),"")</f>
        <v/>
      </c>
      <c r="E254" t="str">
        <f>IFERROR(IF(OR(INDEX(tblTrans[ProductID],253)="",ISNUMBER(SEARCH("ProductID",INDEX(tblTrans[ProductID],253)))),"",INDEX(tblTrans[Type],253)),"")</f>
        <v/>
      </c>
      <c r="F254" t="str">
        <f>IFERROR(IF(OR(INDEX(tblTrans[ProductID],253)="",ISNUMBER(SEARCH("ProductID",INDEX(tblTrans[ProductID],253)))),"",_xlfn.XLOOKUP(B254,tblProducts[ProductID],tblProducts[ProductName],"")),"")</f>
        <v/>
      </c>
      <c r="G254" t="str">
        <f>IFERROR(IF(OR(INDEX(tblTrans[ProductID],253)="",ISNUMBER(SEARCH("ProductID",INDEX(tblTrans[ProductID],253)))),"",_xlfn.XLOOKUP(B254,tblProducts[ProductID],tblProducts[Category],"")),"")</f>
        <v/>
      </c>
      <c r="H254" t="str">
        <f>IFERROR(IF(OR(INDEX(tblTrans[ProductID],253)="",ISNUMBER(SEARCH("ProductID",INDEX(tblTrans[ProductID],253)))),"",_xlfn.XLOOKUP(B254,tblProducts[ProductID],tblProducts[Supplier],"")),"")</f>
        <v/>
      </c>
      <c r="I254" t="str">
        <f>IFERROR(IF(OR(INDEX(tblTrans[ProductID],253)="",ISNUMBER(SEARCH("ProductID",INDEX(tblTrans[ProductID],253)))),"",D254*_xlfn.XLOOKUP(B254,tblProducts[ProductID],tblProducts[UnitCost],0)),"")</f>
        <v/>
      </c>
    </row>
    <row r="255" spans="1:9" x14ac:dyDescent="0.3">
      <c r="A255" s="5" t="str">
        <f>IFERROR(IF(OR(INDEX(tblTrans[ProductID],254)="",ISNUMBER(SEARCH("ProductID",INDEX(tblTrans[ProductID],254)))),"",INDEX(tblTrans[Date],254)),"")</f>
        <v/>
      </c>
      <c r="B255" t="str">
        <f>IFERROR(IF(OR(INDEX(tblTrans[ProductID],254)="",ISNUMBER(SEARCH("ProductID",INDEX(tblTrans[ProductID],254)))),"",INDEX(tblTrans[ProductID],254)),"")</f>
        <v/>
      </c>
      <c r="C255" t="str">
        <f>IFERROR(IF(OR(INDEX(tblTrans[ProductID],254)="",ISNUMBER(SEARCH("ProductID",INDEX(tblTrans[ProductID],254)))),"",INDEX(tblTrans[Location],254)),"")</f>
        <v/>
      </c>
      <c r="D255" t="str">
        <f>IFERROR(IF(OR(INDEX(tblTrans[ProductID],254)="",ISNUMBER(SEARCH("ProductID",INDEX(tblTrans[ProductID],254)))),"",INDEX(tblTrans[Quantity],254)),"")</f>
        <v/>
      </c>
      <c r="E255" t="str">
        <f>IFERROR(IF(OR(INDEX(tblTrans[ProductID],254)="",ISNUMBER(SEARCH("ProductID",INDEX(tblTrans[ProductID],254)))),"",INDEX(tblTrans[Type],254)),"")</f>
        <v/>
      </c>
      <c r="F255" t="str">
        <f>IFERROR(IF(OR(INDEX(tblTrans[ProductID],254)="",ISNUMBER(SEARCH("ProductID",INDEX(tblTrans[ProductID],254)))),"",_xlfn.XLOOKUP(B255,tblProducts[ProductID],tblProducts[ProductName],"")),"")</f>
        <v/>
      </c>
      <c r="G255" t="str">
        <f>IFERROR(IF(OR(INDEX(tblTrans[ProductID],254)="",ISNUMBER(SEARCH("ProductID",INDEX(tblTrans[ProductID],254)))),"",_xlfn.XLOOKUP(B255,tblProducts[ProductID],tblProducts[Category],"")),"")</f>
        <v/>
      </c>
      <c r="H255" t="str">
        <f>IFERROR(IF(OR(INDEX(tblTrans[ProductID],254)="",ISNUMBER(SEARCH("ProductID",INDEX(tblTrans[ProductID],254)))),"",_xlfn.XLOOKUP(B255,tblProducts[ProductID],tblProducts[Supplier],"")),"")</f>
        <v/>
      </c>
      <c r="I255" t="str">
        <f>IFERROR(IF(OR(INDEX(tblTrans[ProductID],254)="",ISNUMBER(SEARCH("ProductID",INDEX(tblTrans[ProductID],254)))),"",D255*_xlfn.XLOOKUP(B255,tblProducts[ProductID],tblProducts[UnitCost],0)),"")</f>
        <v/>
      </c>
    </row>
    <row r="256" spans="1:9" x14ac:dyDescent="0.3">
      <c r="A256" s="5" t="str">
        <f>IFERROR(IF(OR(INDEX(tblTrans[ProductID],255)="",ISNUMBER(SEARCH("ProductID",INDEX(tblTrans[ProductID],255)))),"",INDEX(tblTrans[Date],255)),"")</f>
        <v/>
      </c>
      <c r="B256" t="str">
        <f>IFERROR(IF(OR(INDEX(tblTrans[ProductID],255)="",ISNUMBER(SEARCH("ProductID",INDEX(tblTrans[ProductID],255)))),"",INDEX(tblTrans[ProductID],255)),"")</f>
        <v/>
      </c>
      <c r="C256" t="str">
        <f>IFERROR(IF(OR(INDEX(tblTrans[ProductID],255)="",ISNUMBER(SEARCH("ProductID",INDEX(tblTrans[ProductID],255)))),"",INDEX(tblTrans[Location],255)),"")</f>
        <v/>
      </c>
      <c r="D256" t="str">
        <f>IFERROR(IF(OR(INDEX(tblTrans[ProductID],255)="",ISNUMBER(SEARCH("ProductID",INDEX(tblTrans[ProductID],255)))),"",INDEX(tblTrans[Quantity],255)),"")</f>
        <v/>
      </c>
      <c r="E256" t="str">
        <f>IFERROR(IF(OR(INDEX(tblTrans[ProductID],255)="",ISNUMBER(SEARCH("ProductID",INDEX(tblTrans[ProductID],255)))),"",INDEX(tblTrans[Type],255)),"")</f>
        <v/>
      </c>
      <c r="F256" t="str">
        <f>IFERROR(IF(OR(INDEX(tblTrans[ProductID],255)="",ISNUMBER(SEARCH("ProductID",INDEX(tblTrans[ProductID],255)))),"",_xlfn.XLOOKUP(B256,tblProducts[ProductID],tblProducts[ProductName],"")),"")</f>
        <v/>
      </c>
      <c r="G256" t="str">
        <f>IFERROR(IF(OR(INDEX(tblTrans[ProductID],255)="",ISNUMBER(SEARCH("ProductID",INDEX(tblTrans[ProductID],255)))),"",_xlfn.XLOOKUP(B256,tblProducts[ProductID],tblProducts[Category],"")),"")</f>
        <v/>
      </c>
      <c r="H256" t="str">
        <f>IFERROR(IF(OR(INDEX(tblTrans[ProductID],255)="",ISNUMBER(SEARCH("ProductID",INDEX(tblTrans[ProductID],255)))),"",_xlfn.XLOOKUP(B256,tblProducts[ProductID],tblProducts[Supplier],"")),"")</f>
        <v/>
      </c>
      <c r="I256" t="str">
        <f>IFERROR(IF(OR(INDEX(tblTrans[ProductID],255)="",ISNUMBER(SEARCH("ProductID",INDEX(tblTrans[ProductID],255)))),"",D256*_xlfn.XLOOKUP(B256,tblProducts[ProductID],tblProducts[UnitCost],0)),"")</f>
        <v/>
      </c>
    </row>
    <row r="257" spans="1:9" x14ac:dyDescent="0.3">
      <c r="A257" s="5" t="str">
        <f>IFERROR(IF(OR(INDEX(tblTrans[ProductID],256)="",ISNUMBER(SEARCH("ProductID",INDEX(tblTrans[ProductID],256)))),"",INDEX(tblTrans[Date],256)),"")</f>
        <v/>
      </c>
      <c r="B257" t="str">
        <f>IFERROR(IF(OR(INDEX(tblTrans[ProductID],256)="",ISNUMBER(SEARCH("ProductID",INDEX(tblTrans[ProductID],256)))),"",INDEX(tblTrans[ProductID],256)),"")</f>
        <v/>
      </c>
      <c r="C257" t="str">
        <f>IFERROR(IF(OR(INDEX(tblTrans[ProductID],256)="",ISNUMBER(SEARCH("ProductID",INDEX(tblTrans[ProductID],256)))),"",INDEX(tblTrans[Location],256)),"")</f>
        <v/>
      </c>
      <c r="D257" t="str">
        <f>IFERROR(IF(OR(INDEX(tblTrans[ProductID],256)="",ISNUMBER(SEARCH("ProductID",INDEX(tblTrans[ProductID],256)))),"",INDEX(tblTrans[Quantity],256)),"")</f>
        <v/>
      </c>
      <c r="E257" t="str">
        <f>IFERROR(IF(OR(INDEX(tblTrans[ProductID],256)="",ISNUMBER(SEARCH("ProductID",INDEX(tblTrans[ProductID],256)))),"",INDEX(tblTrans[Type],256)),"")</f>
        <v/>
      </c>
      <c r="F257" t="str">
        <f>IFERROR(IF(OR(INDEX(tblTrans[ProductID],256)="",ISNUMBER(SEARCH("ProductID",INDEX(tblTrans[ProductID],256)))),"",_xlfn.XLOOKUP(B257,tblProducts[ProductID],tblProducts[ProductName],"")),"")</f>
        <v/>
      </c>
      <c r="G257" t="str">
        <f>IFERROR(IF(OR(INDEX(tblTrans[ProductID],256)="",ISNUMBER(SEARCH("ProductID",INDEX(tblTrans[ProductID],256)))),"",_xlfn.XLOOKUP(B257,tblProducts[ProductID],tblProducts[Category],"")),"")</f>
        <v/>
      </c>
      <c r="H257" t="str">
        <f>IFERROR(IF(OR(INDEX(tblTrans[ProductID],256)="",ISNUMBER(SEARCH("ProductID",INDEX(tblTrans[ProductID],256)))),"",_xlfn.XLOOKUP(B257,tblProducts[ProductID],tblProducts[Supplier],"")),"")</f>
        <v/>
      </c>
      <c r="I257" t="str">
        <f>IFERROR(IF(OR(INDEX(tblTrans[ProductID],256)="",ISNUMBER(SEARCH("ProductID",INDEX(tblTrans[ProductID],256)))),"",D257*_xlfn.XLOOKUP(B257,tblProducts[ProductID],tblProducts[UnitCost],0)),"")</f>
        <v/>
      </c>
    </row>
    <row r="258" spans="1:9" x14ac:dyDescent="0.3">
      <c r="A258" s="5" t="str">
        <f>IFERROR(IF(OR(INDEX(tblTrans[ProductID],257)="",ISNUMBER(SEARCH("ProductID",INDEX(tblTrans[ProductID],257)))),"",INDEX(tblTrans[Date],257)),"")</f>
        <v/>
      </c>
      <c r="B258" t="str">
        <f>IFERROR(IF(OR(INDEX(tblTrans[ProductID],257)="",ISNUMBER(SEARCH("ProductID",INDEX(tblTrans[ProductID],257)))),"",INDEX(tblTrans[ProductID],257)),"")</f>
        <v/>
      </c>
      <c r="C258" t="str">
        <f>IFERROR(IF(OR(INDEX(tblTrans[ProductID],257)="",ISNUMBER(SEARCH("ProductID",INDEX(tblTrans[ProductID],257)))),"",INDEX(tblTrans[Location],257)),"")</f>
        <v/>
      </c>
      <c r="D258" t="str">
        <f>IFERROR(IF(OR(INDEX(tblTrans[ProductID],257)="",ISNUMBER(SEARCH("ProductID",INDEX(tblTrans[ProductID],257)))),"",INDEX(tblTrans[Quantity],257)),"")</f>
        <v/>
      </c>
      <c r="E258" t="str">
        <f>IFERROR(IF(OR(INDEX(tblTrans[ProductID],257)="",ISNUMBER(SEARCH("ProductID",INDEX(tblTrans[ProductID],257)))),"",INDEX(tblTrans[Type],257)),"")</f>
        <v/>
      </c>
      <c r="F258" t="str">
        <f>IFERROR(IF(OR(INDEX(tblTrans[ProductID],257)="",ISNUMBER(SEARCH("ProductID",INDEX(tblTrans[ProductID],257)))),"",_xlfn.XLOOKUP(B258,tblProducts[ProductID],tblProducts[ProductName],"")),"")</f>
        <v/>
      </c>
      <c r="G258" t="str">
        <f>IFERROR(IF(OR(INDEX(tblTrans[ProductID],257)="",ISNUMBER(SEARCH("ProductID",INDEX(tblTrans[ProductID],257)))),"",_xlfn.XLOOKUP(B258,tblProducts[ProductID],tblProducts[Category],"")),"")</f>
        <v/>
      </c>
      <c r="H258" t="str">
        <f>IFERROR(IF(OR(INDEX(tblTrans[ProductID],257)="",ISNUMBER(SEARCH("ProductID",INDEX(tblTrans[ProductID],257)))),"",_xlfn.XLOOKUP(B258,tblProducts[ProductID],tblProducts[Supplier],"")),"")</f>
        <v/>
      </c>
      <c r="I258" t="str">
        <f>IFERROR(IF(OR(INDEX(tblTrans[ProductID],257)="",ISNUMBER(SEARCH("ProductID",INDEX(tblTrans[ProductID],257)))),"",D258*_xlfn.XLOOKUP(B258,tblProducts[ProductID],tblProducts[UnitCost],0)),"")</f>
        <v/>
      </c>
    </row>
    <row r="259" spans="1:9" x14ac:dyDescent="0.3">
      <c r="A259" s="5" t="str">
        <f>IFERROR(IF(OR(INDEX(tblTrans[ProductID],258)="",ISNUMBER(SEARCH("ProductID",INDEX(tblTrans[ProductID],258)))),"",INDEX(tblTrans[Date],258)),"")</f>
        <v/>
      </c>
      <c r="B259" t="str">
        <f>IFERROR(IF(OR(INDEX(tblTrans[ProductID],258)="",ISNUMBER(SEARCH("ProductID",INDEX(tblTrans[ProductID],258)))),"",INDEX(tblTrans[ProductID],258)),"")</f>
        <v/>
      </c>
      <c r="C259" t="str">
        <f>IFERROR(IF(OR(INDEX(tblTrans[ProductID],258)="",ISNUMBER(SEARCH("ProductID",INDEX(tblTrans[ProductID],258)))),"",INDEX(tblTrans[Location],258)),"")</f>
        <v/>
      </c>
      <c r="D259" t="str">
        <f>IFERROR(IF(OR(INDEX(tblTrans[ProductID],258)="",ISNUMBER(SEARCH("ProductID",INDEX(tblTrans[ProductID],258)))),"",INDEX(tblTrans[Quantity],258)),"")</f>
        <v/>
      </c>
      <c r="E259" t="str">
        <f>IFERROR(IF(OR(INDEX(tblTrans[ProductID],258)="",ISNUMBER(SEARCH("ProductID",INDEX(tblTrans[ProductID],258)))),"",INDEX(tblTrans[Type],258)),"")</f>
        <v/>
      </c>
      <c r="F259" t="str">
        <f>IFERROR(IF(OR(INDEX(tblTrans[ProductID],258)="",ISNUMBER(SEARCH("ProductID",INDEX(tblTrans[ProductID],258)))),"",_xlfn.XLOOKUP(B259,tblProducts[ProductID],tblProducts[ProductName],"")),"")</f>
        <v/>
      </c>
      <c r="G259" t="str">
        <f>IFERROR(IF(OR(INDEX(tblTrans[ProductID],258)="",ISNUMBER(SEARCH("ProductID",INDEX(tblTrans[ProductID],258)))),"",_xlfn.XLOOKUP(B259,tblProducts[ProductID],tblProducts[Category],"")),"")</f>
        <v/>
      </c>
      <c r="H259" t="str">
        <f>IFERROR(IF(OR(INDEX(tblTrans[ProductID],258)="",ISNUMBER(SEARCH("ProductID",INDEX(tblTrans[ProductID],258)))),"",_xlfn.XLOOKUP(B259,tblProducts[ProductID],tblProducts[Supplier],"")),"")</f>
        <v/>
      </c>
      <c r="I259" t="str">
        <f>IFERROR(IF(OR(INDEX(tblTrans[ProductID],258)="",ISNUMBER(SEARCH("ProductID",INDEX(tblTrans[ProductID],258)))),"",D259*_xlfn.XLOOKUP(B259,tblProducts[ProductID],tblProducts[UnitCost],0)),"")</f>
        <v/>
      </c>
    </row>
    <row r="260" spans="1:9" x14ac:dyDescent="0.3">
      <c r="A260" s="5" t="str">
        <f>IFERROR(IF(OR(INDEX(tblTrans[ProductID],259)="",ISNUMBER(SEARCH("ProductID",INDEX(tblTrans[ProductID],259)))),"",INDEX(tblTrans[Date],259)),"")</f>
        <v/>
      </c>
      <c r="B260" t="str">
        <f>IFERROR(IF(OR(INDEX(tblTrans[ProductID],259)="",ISNUMBER(SEARCH("ProductID",INDEX(tblTrans[ProductID],259)))),"",INDEX(tblTrans[ProductID],259)),"")</f>
        <v/>
      </c>
      <c r="C260" t="str">
        <f>IFERROR(IF(OR(INDEX(tblTrans[ProductID],259)="",ISNUMBER(SEARCH("ProductID",INDEX(tblTrans[ProductID],259)))),"",INDEX(tblTrans[Location],259)),"")</f>
        <v/>
      </c>
      <c r="D260" t="str">
        <f>IFERROR(IF(OR(INDEX(tblTrans[ProductID],259)="",ISNUMBER(SEARCH("ProductID",INDEX(tblTrans[ProductID],259)))),"",INDEX(tblTrans[Quantity],259)),"")</f>
        <v/>
      </c>
      <c r="E260" t="str">
        <f>IFERROR(IF(OR(INDEX(tblTrans[ProductID],259)="",ISNUMBER(SEARCH("ProductID",INDEX(tblTrans[ProductID],259)))),"",INDEX(tblTrans[Type],259)),"")</f>
        <v/>
      </c>
      <c r="F260" t="str">
        <f>IFERROR(IF(OR(INDEX(tblTrans[ProductID],259)="",ISNUMBER(SEARCH("ProductID",INDEX(tblTrans[ProductID],259)))),"",_xlfn.XLOOKUP(B260,tblProducts[ProductID],tblProducts[ProductName],"")),"")</f>
        <v/>
      </c>
      <c r="G260" t="str">
        <f>IFERROR(IF(OR(INDEX(tblTrans[ProductID],259)="",ISNUMBER(SEARCH("ProductID",INDEX(tblTrans[ProductID],259)))),"",_xlfn.XLOOKUP(B260,tblProducts[ProductID],tblProducts[Category],"")),"")</f>
        <v/>
      </c>
      <c r="H260" t="str">
        <f>IFERROR(IF(OR(INDEX(tblTrans[ProductID],259)="",ISNUMBER(SEARCH("ProductID",INDEX(tblTrans[ProductID],259)))),"",_xlfn.XLOOKUP(B260,tblProducts[ProductID],tblProducts[Supplier],"")),"")</f>
        <v/>
      </c>
      <c r="I260" t="str">
        <f>IFERROR(IF(OR(INDEX(tblTrans[ProductID],259)="",ISNUMBER(SEARCH("ProductID",INDEX(tblTrans[ProductID],259)))),"",D260*_xlfn.XLOOKUP(B260,tblProducts[ProductID],tblProducts[UnitCost],0)),"")</f>
        <v/>
      </c>
    </row>
    <row r="261" spans="1:9" x14ac:dyDescent="0.3">
      <c r="A261" s="5" t="str">
        <f>IFERROR(IF(OR(INDEX(tblTrans[ProductID],260)="",ISNUMBER(SEARCH("ProductID",INDEX(tblTrans[ProductID],260)))),"",INDEX(tblTrans[Date],260)),"")</f>
        <v/>
      </c>
      <c r="B261" t="str">
        <f>IFERROR(IF(OR(INDEX(tblTrans[ProductID],260)="",ISNUMBER(SEARCH("ProductID",INDEX(tblTrans[ProductID],260)))),"",INDEX(tblTrans[ProductID],260)),"")</f>
        <v/>
      </c>
      <c r="C261" t="str">
        <f>IFERROR(IF(OR(INDEX(tblTrans[ProductID],260)="",ISNUMBER(SEARCH("ProductID",INDEX(tblTrans[ProductID],260)))),"",INDEX(tblTrans[Location],260)),"")</f>
        <v/>
      </c>
      <c r="D261" t="str">
        <f>IFERROR(IF(OR(INDEX(tblTrans[ProductID],260)="",ISNUMBER(SEARCH("ProductID",INDEX(tblTrans[ProductID],260)))),"",INDEX(tblTrans[Quantity],260)),"")</f>
        <v/>
      </c>
      <c r="E261" t="str">
        <f>IFERROR(IF(OR(INDEX(tblTrans[ProductID],260)="",ISNUMBER(SEARCH("ProductID",INDEX(tblTrans[ProductID],260)))),"",INDEX(tblTrans[Type],260)),"")</f>
        <v/>
      </c>
      <c r="F261" t="str">
        <f>IFERROR(IF(OR(INDEX(tblTrans[ProductID],260)="",ISNUMBER(SEARCH("ProductID",INDEX(tblTrans[ProductID],260)))),"",_xlfn.XLOOKUP(B261,tblProducts[ProductID],tblProducts[ProductName],"")),"")</f>
        <v/>
      </c>
      <c r="G261" t="str">
        <f>IFERROR(IF(OR(INDEX(tblTrans[ProductID],260)="",ISNUMBER(SEARCH("ProductID",INDEX(tblTrans[ProductID],260)))),"",_xlfn.XLOOKUP(B261,tblProducts[ProductID],tblProducts[Category],"")),"")</f>
        <v/>
      </c>
      <c r="H261" t="str">
        <f>IFERROR(IF(OR(INDEX(tblTrans[ProductID],260)="",ISNUMBER(SEARCH("ProductID",INDEX(tblTrans[ProductID],260)))),"",_xlfn.XLOOKUP(B261,tblProducts[ProductID],tblProducts[Supplier],"")),"")</f>
        <v/>
      </c>
      <c r="I261" t="str">
        <f>IFERROR(IF(OR(INDEX(tblTrans[ProductID],260)="",ISNUMBER(SEARCH("ProductID",INDEX(tblTrans[ProductID],260)))),"",D261*_xlfn.XLOOKUP(B261,tblProducts[ProductID],tblProducts[UnitCost],0)),"")</f>
        <v/>
      </c>
    </row>
    <row r="262" spans="1:9" x14ac:dyDescent="0.3">
      <c r="A262" s="5" t="str">
        <f>IFERROR(IF(OR(INDEX(tblTrans[ProductID],261)="",ISNUMBER(SEARCH("ProductID",INDEX(tblTrans[ProductID],261)))),"",INDEX(tblTrans[Date],261)),"")</f>
        <v/>
      </c>
      <c r="B262" t="str">
        <f>IFERROR(IF(OR(INDEX(tblTrans[ProductID],261)="",ISNUMBER(SEARCH("ProductID",INDEX(tblTrans[ProductID],261)))),"",INDEX(tblTrans[ProductID],261)),"")</f>
        <v/>
      </c>
      <c r="C262" t="str">
        <f>IFERROR(IF(OR(INDEX(tblTrans[ProductID],261)="",ISNUMBER(SEARCH("ProductID",INDEX(tblTrans[ProductID],261)))),"",INDEX(tblTrans[Location],261)),"")</f>
        <v/>
      </c>
      <c r="D262" t="str">
        <f>IFERROR(IF(OR(INDEX(tblTrans[ProductID],261)="",ISNUMBER(SEARCH("ProductID",INDEX(tblTrans[ProductID],261)))),"",INDEX(tblTrans[Quantity],261)),"")</f>
        <v/>
      </c>
      <c r="E262" t="str">
        <f>IFERROR(IF(OR(INDEX(tblTrans[ProductID],261)="",ISNUMBER(SEARCH("ProductID",INDEX(tblTrans[ProductID],261)))),"",INDEX(tblTrans[Type],261)),"")</f>
        <v/>
      </c>
      <c r="F262" t="str">
        <f>IFERROR(IF(OR(INDEX(tblTrans[ProductID],261)="",ISNUMBER(SEARCH("ProductID",INDEX(tblTrans[ProductID],261)))),"",_xlfn.XLOOKUP(B262,tblProducts[ProductID],tblProducts[ProductName],"")),"")</f>
        <v/>
      </c>
      <c r="G262" t="str">
        <f>IFERROR(IF(OR(INDEX(tblTrans[ProductID],261)="",ISNUMBER(SEARCH("ProductID",INDEX(tblTrans[ProductID],261)))),"",_xlfn.XLOOKUP(B262,tblProducts[ProductID],tblProducts[Category],"")),"")</f>
        <v/>
      </c>
      <c r="H262" t="str">
        <f>IFERROR(IF(OR(INDEX(tblTrans[ProductID],261)="",ISNUMBER(SEARCH("ProductID",INDEX(tblTrans[ProductID],261)))),"",_xlfn.XLOOKUP(B262,tblProducts[ProductID],tblProducts[Supplier],"")),"")</f>
        <v/>
      </c>
      <c r="I262" t="str">
        <f>IFERROR(IF(OR(INDEX(tblTrans[ProductID],261)="",ISNUMBER(SEARCH("ProductID",INDEX(tblTrans[ProductID],261)))),"",D262*_xlfn.XLOOKUP(B262,tblProducts[ProductID],tblProducts[UnitCost],0)),"")</f>
        <v/>
      </c>
    </row>
    <row r="263" spans="1:9" x14ac:dyDescent="0.3">
      <c r="A263" s="5" t="str">
        <f>IFERROR(IF(OR(INDEX(tblTrans[ProductID],262)="",ISNUMBER(SEARCH("ProductID",INDEX(tblTrans[ProductID],262)))),"",INDEX(tblTrans[Date],262)),"")</f>
        <v/>
      </c>
      <c r="B263" t="str">
        <f>IFERROR(IF(OR(INDEX(tblTrans[ProductID],262)="",ISNUMBER(SEARCH("ProductID",INDEX(tblTrans[ProductID],262)))),"",INDEX(tblTrans[ProductID],262)),"")</f>
        <v/>
      </c>
      <c r="C263" t="str">
        <f>IFERROR(IF(OR(INDEX(tblTrans[ProductID],262)="",ISNUMBER(SEARCH("ProductID",INDEX(tblTrans[ProductID],262)))),"",INDEX(tblTrans[Location],262)),"")</f>
        <v/>
      </c>
      <c r="D263" t="str">
        <f>IFERROR(IF(OR(INDEX(tblTrans[ProductID],262)="",ISNUMBER(SEARCH("ProductID",INDEX(tblTrans[ProductID],262)))),"",INDEX(tblTrans[Quantity],262)),"")</f>
        <v/>
      </c>
      <c r="E263" t="str">
        <f>IFERROR(IF(OR(INDEX(tblTrans[ProductID],262)="",ISNUMBER(SEARCH("ProductID",INDEX(tblTrans[ProductID],262)))),"",INDEX(tblTrans[Type],262)),"")</f>
        <v/>
      </c>
      <c r="F263" t="str">
        <f>IFERROR(IF(OR(INDEX(tblTrans[ProductID],262)="",ISNUMBER(SEARCH("ProductID",INDEX(tblTrans[ProductID],262)))),"",_xlfn.XLOOKUP(B263,tblProducts[ProductID],tblProducts[ProductName],"")),"")</f>
        <v/>
      </c>
      <c r="G263" t="str">
        <f>IFERROR(IF(OR(INDEX(tblTrans[ProductID],262)="",ISNUMBER(SEARCH("ProductID",INDEX(tblTrans[ProductID],262)))),"",_xlfn.XLOOKUP(B263,tblProducts[ProductID],tblProducts[Category],"")),"")</f>
        <v/>
      </c>
      <c r="H263" t="str">
        <f>IFERROR(IF(OR(INDEX(tblTrans[ProductID],262)="",ISNUMBER(SEARCH("ProductID",INDEX(tblTrans[ProductID],262)))),"",_xlfn.XLOOKUP(B263,tblProducts[ProductID],tblProducts[Supplier],"")),"")</f>
        <v/>
      </c>
      <c r="I263" t="str">
        <f>IFERROR(IF(OR(INDEX(tblTrans[ProductID],262)="",ISNUMBER(SEARCH("ProductID",INDEX(tblTrans[ProductID],262)))),"",D263*_xlfn.XLOOKUP(B263,tblProducts[ProductID],tblProducts[UnitCost],0)),"")</f>
        <v/>
      </c>
    </row>
    <row r="264" spans="1:9" x14ac:dyDescent="0.3">
      <c r="A264" s="5" t="str">
        <f>IFERROR(IF(OR(INDEX(tblTrans[ProductID],263)="",ISNUMBER(SEARCH("ProductID",INDEX(tblTrans[ProductID],263)))),"",INDEX(tblTrans[Date],263)),"")</f>
        <v/>
      </c>
      <c r="B264" t="str">
        <f>IFERROR(IF(OR(INDEX(tblTrans[ProductID],263)="",ISNUMBER(SEARCH("ProductID",INDEX(tblTrans[ProductID],263)))),"",INDEX(tblTrans[ProductID],263)),"")</f>
        <v/>
      </c>
      <c r="C264" t="str">
        <f>IFERROR(IF(OR(INDEX(tblTrans[ProductID],263)="",ISNUMBER(SEARCH("ProductID",INDEX(tblTrans[ProductID],263)))),"",INDEX(tblTrans[Location],263)),"")</f>
        <v/>
      </c>
      <c r="D264" t="str">
        <f>IFERROR(IF(OR(INDEX(tblTrans[ProductID],263)="",ISNUMBER(SEARCH("ProductID",INDEX(tblTrans[ProductID],263)))),"",INDEX(tblTrans[Quantity],263)),"")</f>
        <v/>
      </c>
      <c r="E264" t="str">
        <f>IFERROR(IF(OR(INDEX(tblTrans[ProductID],263)="",ISNUMBER(SEARCH("ProductID",INDEX(tblTrans[ProductID],263)))),"",INDEX(tblTrans[Type],263)),"")</f>
        <v/>
      </c>
      <c r="F264" t="str">
        <f>IFERROR(IF(OR(INDEX(tblTrans[ProductID],263)="",ISNUMBER(SEARCH("ProductID",INDEX(tblTrans[ProductID],263)))),"",_xlfn.XLOOKUP(B264,tblProducts[ProductID],tblProducts[ProductName],"")),"")</f>
        <v/>
      </c>
      <c r="G264" t="str">
        <f>IFERROR(IF(OR(INDEX(tblTrans[ProductID],263)="",ISNUMBER(SEARCH("ProductID",INDEX(tblTrans[ProductID],263)))),"",_xlfn.XLOOKUP(B264,tblProducts[ProductID],tblProducts[Category],"")),"")</f>
        <v/>
      </c>
      <c r="H264" t="str">
        <f>IFERROR(IF(OR(INDEX(tblTrans[ProductID],263)="",ISNUMBER(SEARCH("ProductID",INDEX(tblTrans[ProductID],263)))),"",_xlfn.XLOOKUP(B264,tblProducts[ProductID],tblProducts[Supplier],"")),"")</f>
        <v/>
      </c>
      <c r="I264" t="str">
        <f>IFERROR(IF(OR(INDEX(tblTrans[ProductID],263)="",ISNUMBER(SEARCH("ProductID",INDEX(tblTrans[ProductID],263)))),"",D264*_xlfn.XLOOKUP(B264,tblProducts[ProductID],tblProducts[UnitCost],0)),"")</f>
        <v/>
      </c>
    </row>
    <row r="265" spans="1:9" x14ac:dyDescent="0.3">
      <c r="A265" s="5" t="str">
        <f>IFERROR(IF(OR(INDEX(tblTrans[ProductID],264)="",ISNUMBER(SEARCH("ProductID",INDEX(tblTrans[ProductID],264)))),"",INDEX(tblTrans[Date],264)),"")</f>
        <v/>
      </c>
      <c r="B265" t="str">
        <f>IFERROR(IF(OR(INDEX(tblTrans[ProductID],264)="",ISNUMBER(SEARCH("ProductID",INDEX(tblTrans[ProductID],264)))),"",INDEX(tblTrans[ProductID],264)),"")</f>
        <v/>
      </c>
      <c r="C265" t="str">
        <f>IFERROR(IF(OR(INDEX(tblTrans[ProductID],264)="",ISNUMBER(SEARCH("ProductID",INDEX(tblTrans[ProductID],264)))),"",INDEX(tblTrans[Location],264)),"")</f>
        <v/>
      </c>
      <c r="D265" t="str">
        <f>IFERROR(IF(OR(INDEX(tblTrans[ProductID],264)="",ISNUMBER(SEARCH("ProductID",INDEX(tblTrans[ProductID],264)))),"",INDEX(tblTrans[Quantity],264)),"")</f>
        <v/>
      </c>
      <c r="E265" t="str">
        <f>IFERROR(IF(OR(INDEX(tblTrans[ProductID],264)="",ISNUMBER(SEARCH("ProductID",INDEX(tblTrans[ProductID],264)))),"",INDEX(tblTrans[Type],264)),"")</f>
        <v/>
      </c>
      <c r="F265" t="str">
        <f>IFERROR(IF(OR(INDEX(tblTrans[ProductID],264)="",ISNUMBER(SEARCH("ProductID",INDEX(tblTrans[ProductID],264)))),"",_xlfn.XLOOKUP(B265,tblProducts[ProductID],tblProducts[ProductName],"")),"")</f>
        <v/>
      </c>
      <c r="G265" t="str">
        <f>IFERROR(IF(OR(INDEX(tblTrans[ProductID],264)="",ISNUMBER(SEARCH("ProductID",INDEX(tblTrans[ProductID],264)))),"",_xlfn.XLOOKUP(B265,tblProducts[ProductID],tblProducts[Category],"")),"")</f>
        <v/>
      </c>
      <c r="H265" t="str">
        <f>IFERROR(IF(OR(INDEX(tblTrans[ProductID],264)="",ISNUMBER(SEARCH("ProductID",INDEX(tblTrans[ProductID],264)))),"",_xlfn.XLOOKUP(B265,tblProducts[ProductID],tblProducts[Supplier],"")),"")</f>
        <v/>
      </c>
      <c r="I265" t="str">
        <f>IFERROR(IF(OR(INDEX(tblTrans[ProductID],264)="",ISNUMBER(SEARCH("ProductID",INDEX(tblTrans[ProductID],264)))),"",D265*_xlfn.XLOOKUP(B265,tblProducts[ProductID],tblProducts[UnitCost],0)),"")</f>
        <v/>
      </c>
    </row>
    <row r="266" spans="1:9" x14ac:dyDescent="0.3">
      <c r="A266" s="5" t="str">
        <f>IFERROR(IF(OR(INDEX(tblTrans[ProductID],265)="",ISNUMBER(SEARCH("ProductID",INDEX(tblTrans[ProductID],265)))),"",INDEX(tblTrans[Date],265)),"")</f>
        <v/>
      </c>
      <c r="B266" t="str">
        <f>IFERROR(IF(OR(INDEX(tblTrans[ProductID],265)="",ISNUMBER(SEARCH("ProductID",INDEX(tblTrans[ProductID],265)))),"",INDEX(tblTrans[ProductID],265)),"")</f>
        <v/>
      </c>
      <c r="C266" t="str">
        <f>IFERROR(IF(OR(INDEX(tblTrans[ProductID],265)="",ISNUMBER(SEARCH("ProductID",INDEX(tblTrans[ProductID],265)))),"",INDEX(tblTrans[Location],265)),"")</f>
        <v/>
      </c>
      <c r="D266" t="str">
        <f>IFERROR(IF(OR(INDEX(tblTrans[ProductID],265)="",ISNUMBER(SEARCH("ProductID",INDEX(tblTrans[ProductID],265)))),"",INDEX(tblTrans[Quantity],265)),"")</f>
        <v/>
      </c>
      <c r="E266" t="str">
        <f>IFERROR(IF(OR(INDEX(tblTrans[ProductID],265)="",ISNUMBER(SEARCH("ProductID",INDEX(tblTrans[ProductID],265)))),"",INDEX(tblTrans[Type],265)),"")</f>
        <v/>
      </c>
      <c r="F266" t="str">
        <f>IFERROR(IF(OR(INDEX(tblTrans[ProductID],265)="",ISNUMBER(SEARCH("ProductID",INDEX(tblTrans[ProductID],265)))),"",_xlfn.XLOOKUP(B266,tblProducts[ProductID],tblProducts[ProductName],"")),"")</f>
        <v/>
      </c>
      <c r="G266" t="str">
        <f>IFERROR(IF(OR(INDEX(tblTrans[ProductID],265)="",ISNUMBER(SEARCH("ProductID",INDEX(tblTrans[ProductID],265)))),"",_xlfn.XLOOKUP(B266,tblProducts[ProductID],tblProducts[Category],"")),"")</f>
        <v/>
      </c>
      <c r="H266" t="str">
        <f>IFERROR(IF(OR(INDEX(tblTrans[ProductID],265)="",ISNUMBER(SEARCH("ProductID",INDEX(tblTrans[ProductID],265)))),"",_xlfn.XLOOKUP(B266,tblProducts[ProductID],tblProducts[Supplier],"")),"")</f>
        <v/>
      </c>
      <c r="I266" t="str">
        <f>IFERROR(IF(OR(INDEX(tblTrans[ProductID],265)="",ISNUMBER(SEARCH("ProductID",INDEX(tblTrans[ProductID],265)))),"",D266*_xlfn.XLOOKUP(B266,tblProducts[ProductID],tblProducts[UnitCost],0)),"")</f>
        <v/>
      </c>
    </row>
    <row r="267" spans="1:9" x14ac:dyDescent="0.3">
      <c r="A267" s="5" t="str">
        <f>IFERROR(IF(OR(INDEX(tblTrans[ProductID],266)="",ISNUMBER(SEARCH("ProductID",INDEX(tblTrans[ProductID],266)))),"",INDEX(tblTrans[Date],266)),"")</f>
        <v/>
      </c>
      <c r="B267" t="str">
        <f>IFERROR(IF(OR(INDEX(tblTrans[ProductID],266)="",ISNUMBER(SEARCH("ProductID",INDEX(tblTrans[ProductID],266)))),"",INDEX(tblTrans[ProductID],266)),"")</f>
        <v/>
      </c>
      <c r="C267" t="str">
        <f>IFERROR(IF(OR(INDEX(tblTrans[ProductID],266)="",ISNUMBER(SEARCH("ProductID",INDEX(tblTrans[ProductID],266)))),"",INDEX(tblTrans[Location],266)),"")</f>
        <v/>
      </c>
      <c r="D267" t="str">
        <f>IFERROR(IF(OR(INDEX(tblTrans[ProductID],266)="",ISNUMBER(SEARCH("ProductID",INDEX(tblTrans[ProductID],266)))),"",INDEX(tblTrans[Quantity],266)),"")</f>
        <v/>
      </c>
      <c r="E267" t="str">
        <f>IFERROR(IF(OR(INDEX(tblTrans[ProductID],266)="",ISNUMBER(SEARCH("ProductID",INDEX(tblTrans[ProductID],266)))),"",INDEX(tblTrans[Type],266)),"")</f>
        <v/>
      </c>
      <c r="F267" t="str">
        <f>IFERROR(IF(OR(INDEX(tblTrans[ProductID],266)="",ISNUMBER(SEARCH("ProductID",INDEX(tblTrans[ProductID],266)))),"",_xlfn.XLOOKUP(B267,tblProducts[ProductID],tblProducts[ProductName],"")),"")</f>
        <v/>
      </c>
      <c r="G267" t="str">
        <f>IFERROR(IF(OR(INDEX(tblTrans[ProductID],266)="",ISNUMBER(SEARCH("ProductID",INDEX(tblTrans[ProductID],266)))),"",_xlfn.XLOOKUP(B267,tblProducts[ProductID],tblProducts[Category],"")),"")</f>
        <v/>
      </c>
      <c r="H267" t="str">
        <f>IFERROR(IF(OR(INDEX(tblTrans[ProductID],266)="",ISNUMBER(SEARCH("ProductID",INDEX(tblTrans[ProductID],266)))),"",_xlfn.XLOOKUP(B267,tblProducts[ProductID],tblProducts[Supplier],"")),"")</f>
        <v/>
      </c>
      <c r="I267" t="str">
        <f>IFERROR(IF(OR(INDEX(tblTrans[ProductID],266)="",ISNUMBER(SEARCH("ProductID",INDEX(tblTrans[ProductID],266)))),"",D267*_xlfn.XLOOKUP(B267,tblProducts[ProductID],tblProducts[UnitCost],0)),"")</f>
        <v/>
      </c>
    </row>
    <row r="268" spans="1:9" x14ac:dyDescent="0.3">
      <c r="A268" s="5" t="str">
        <f>IFERROR(IF(OR(INDEX(tblTrans[ProductID],267)="",ISNUMBER(SEARCH("ProductID",INDEX(tblTrans[ProductID],267)))),"",INDEX(tblTrans[Date],267)),"")</f>
        <v/>
      </c>
      <c r="B268" t="str">
        <f>IFERROR(IF(OR(INDEX(tblTrans[ProductID],267)="",ISNUMBER(SEARCH("ProductID",INDEX(tblTrans[ProductID],267)))),"",INDEX(tblTrans[ProductID],267)),"")</f>
        <v/>
      </c>
      <c r="C268" t="str">
        <f>IFERROR(IF(OR(INDEX(tblTrans[ProductID],267)="",ISNUMBER(SEARCH("ProductID",INDEX(tblTrans[ProductID],267)))),"",INDEX(tblTrans[Location],267)),"")</f>
        <v/>
      </c>
      <c r="D268" t="str">
        <f>IFERROR(IF(OR(INDEX(tblTrans[ProductID],267)="",ISNUMBER(SEARCH("ProductID",INDEX(tblTrans[ProductID],267)))),"",INDEX(tblTrans[Quantity],267)),"")</f>
        <v/>
      </c>
      <c r="E268" t="str">
        <f>IFERROR(IF(OR(INDEX(tblTrans[ProductID],267)="",ISNUMBER(SEARCH("ProductID",INDEX(tblTrans[ProductID],267)))),"",INDEX(tblTrans[Type],267)),"")</f>
        <v/>
      </c>
      <c r="F268" t="str">
        <f>IFERROR(IF(OR(INDEX(tblTrans[ProductID],267)="",ISNUMBER(SEARCH("ProductID",INDEX(tblTrans[ProductID],267)))),"",_xlfn.XLOOKUP(B268,tblProducts[ProductID],tblProducts[ProductName],"")),"")</f>
        <v/>
      </c>
      <c r="G268" t="str">
        <f>IFERROR(IF(OR(INDEX(tblTrans[ProductID],267)="",ISNUMBER(SEARCH("ProductID",INDEX(tblTrans[ProductID],267)))),"",_xlfn.XLOOKUP(B268,tblProducts[ProductID],tblProducts[Category],"")),"")</f>
        <v/>
      </c>
      <c r="H268" t="str">
        <f>IFERROR(IF(OR(INDEX(tblTrans[ProductID],267)="",ISNUMBER(SEARCH("ProductID",INDEX(tblTrans[ProductID],267)))),"",_xlfn.XLOOKUP(B268,tblProducts[ProductID],tblProducts[Supplier],"")),"")</f>
        <v/>
      </c>
      <c r="I268" t="str">
        <f>IFERROR(IF(OR(INDEX(tblTrans[ProductID],267)="",ISNUMBER(SEARCH("ProductID",INDEX(tblTrans[ProductID],267)))),"",D268*_xlfn.XLOOKUP(B268,tblProducts[ProductID],tblProducts[UnitCost],0)),"")</f>
        <v/>
      </c>
    </row>
    <row r="269" spans="1:9" x14ac:dyDescent="0.3">
      <c r="A269" s="5" t="str">
        <f>IFERROR(IF(OR(INDEX(tblTrans[ProductID],268)="",ISNUMBER(SEARCH("ProductID",INDEX(tblTrans[ProductID],268)))),"",INDEX(tblTrans[Date],268)),"")</f>
        <v/>
      </c>
      <c r="B269" t="str">
        <f>IFERROR(IF(OR(INDEX(tblTrans[ProductID],268)="",ISNUMBER(SEARCH("ProductID",INDEX(tblTrans[ProductID],268)))),"",INDEX(tblTrans[ProductID],268)),"")</f>
        <v/>
      </c>
      <c r="C269" t="str">
        <f>IFERROR(IF(OR(INDEX(tblTrans[ProductID],268)="",ISNUMBER(SEARCH("ProductID",INDEX(tblTrans[ProductID],268)))),"",INDEX(tblTrans[Location],268)),"")</f>
        <v/>
      </c>
      <c r="D269" t="str">
        <f>IFERROR(IF(OR(INDEX(tblTrans[ProductID],268)="",ISNUMBER(SEARCH("ProductID",INDEX(tblTrans[ProductID],268)))),"",INDEX(tblTrans[Quantity],268)),"")</f>
        <v/>
      </c>
      <c r="E269" t="str">
        <f>IFERROR(IF(OR(INDEX(tblTrans[ProductID],268)="",ISNUMBER(SEARCH("ProductID",INDEX(tblTrans[ProductID],268)))),"",INDEX(tblTrans[Type],268)),"")</f>
        <v/>
      </c>
      <c r="F269" t="str">
        <f>IFERROR(IF(OR(INDEX(tblTrans[ProductID],268)="",ISNUMBER(SEARCH("ProductID",INDEX(tblTrans[ProductID],268)))),"",_xlfn.XLOOKUP(B269,tblProducts[ProductID],tblProducts[ProductName],"")),"")</f>
        <v/>
      </c>
      <c r="G269" t="str">
        <f>IFERROR(IF(OR(INDEX(tblTrans[ProductID],268)="",ISNUMBER(SEARCH("ProductID",INDEX(tblTrans[ProductID],268)))),"",_xlfn.XLOOKUP(B269,tblProducts[ProductID],tblProducts[Category],"")),"")</f>
        <v/>
      </c>
      <c r="H269" t="str">
        <f>IFERROR(IF(OR(INDEX(tblTrans[ProductID],268)="",ISNUMBER(SEARCH("ProductID",INDEX(tblTrans[ProductID],268)))),"",_xlfn.XLOOKUP(B269,tblProducts[ProductID],tblProducts[Supplier],"")),"")</f>
        <v/>
      </c>
      <c r="I269" t="str">
        <f>IFERROR(IF(OR(INDEX(tblTrans[ProductID],268)="",ISNUMBER(SEARCH("ProductID",INDEX(tblTrans[ProductID],268)))),"",D269*_xlfn.XLOOKUP(B269,tblProducts[ProductID],tblProducts[UnitCost],0)),"")</f>
        <v/>
      </c>
    </row>
    <row r="270" spans="1:9" x14ac:dyDescent="0.3">
      <c r="A270" s="5" t="str">
        <f>IFERROR(IF(OR(INDEX(tblTrans[ProductID],269)="",ISNUMBER(SEARCH("ProductID",INDEX(tblTrans[ProductID],269)))),"",INDEX(tblTrans[Date],269)),"")</f>
        <v/>
      </c>
      <c r="B270" t="str">
        <f>IFERROR(IF(OR(INDEX(tblTrans[ProductID],269)="",ISNUMBER(SEARCH("ProductID",INDEX(tblTrans[ProductID],269)))),"",INDEX(tblTrans[ProductID],269)),"")</f>
        <v/>
      </c>
      <c r="C270" t="str">
        <f>IFERROR(IF(OR(INDEX(tblTrans[ProductID],269)="",ISNUMBER(SEARCH("ProductID",INDEX(tblTrans[ProductID],269)))),"",INDEX(tblTrans[Location],269)),"")</f>
        <v/>
      </c>
      <c r="D270" t="str">
        <f>IFERROR(IF(OR(INDEX(tblTrans[ProductID],269)="",ISNUMBER(SEARCH("ProductID",INDEX(tblTrans[ProductID],269)))),"",INDEX(tblTrans[Quantity],269)),"")</f>
        <v/>
      </c>
      <c r="E270" t="str">
        <f>IFERROR(IF(OR(INDEX(tblTrans[ProductID],269)="",ISNUMBER(SEARCH("ProductID",INDEX(tblTrans[ProductID],269)))),"",INDEX(tblTrans[Type],269)),"")</f>
        <v/>
      </c>
      <c r="F270" t="str">
        <f>IFERROR(IF(OR(INDEX(tblTrans[ProductID],269)="",ISNUMBER(SEARCH("ProductID",INDEX(tblTrans[ProductID],269)))),"",_xlfn.XLOOKUP(B270,tblProducts[ProductID],tblProducts[ProductName],"")),"")</f>
        <v/>
      </c>
      <c r="G270" t="str">
        <f>IFERROR(IF(OR(INDEX(tblTrans[ProductID],269)="",ISNUMBER(SEARCH("ProductID",INDEX(tblTrans[ProductID],269)))),"",_xlfn.XLOOKUP(B270,tblProducts[ProductID],tblProducts[Category],"")),"")</f>
        <v/>
      </c>
      <c r="H270" t="str">
        <f>IFERROR(IF(OR(INDEX(tblTrans[ProductID],269)="",ISNUMBER(SEARCH("ProductID",INDEX(tblTrans[ProductID],269)))),"",_xlfn.XLOOKUP(B270,tblProducts[ProductID],tblProducts[Supplier],"")),"")</f>
        <v/>
      </c>
      <c r="I270" t="str">
        <f>IFERROR(IF(OR(INDEX(tblTrans[ProductID],269)="",ISNUMBER(SEARCH("ProductID",INDEX(tblTrans[ProductID],269)))),"",D270*_xlfn.XLOOKUP(B270,tblProducts[ProductID],tblProducts[UnitCost],0)),"")</f>
        <v/>
      </c>
    </row>
    <row r="271" spans="1:9" x14ac:dyDescent="0.3">
      <c r="A271" s="5" t="str">
        <f>IFERROR(IF(OR(INDEX(tblTrans[ProductID],270)="",ISNUMBER(SEARCH("ProductID",INDEX(tblTrans[ProductID],270)))),"",INDEX(tblTrans[Date],270)),"")</f>
        <v/>
      </c>
      <c r="B271" t="str">
        <f>IFERROR(IF(OR(INDEX(tblTrans[ProductID],270)="",ISNUMBER(SEARCH("ProductID",INDEX(tblTrans[ProductID],270)))),"",INDEX(tblTrans[ProductID],270)),"")</f>
        <v/>
      </c>
      <c r="C271" t="str">
        <f>IFERROR(IF(OR(INDEX(tblTrans[ProductID],270)="",ISNUMBER(SEARCH("ProductID",INDEX(tblTrans[ProductID],270)))),"",INDEX(tblTrans[Location],270)),"")</f>
        <v/>
      </c>
      <c r="D271" t="str">
        <f>IFERROR(IF(OR(INDEX(tblTrans[ProductID],270)="",ISNUMBER(SEARCH("ProductID",INDEX(tblTrans[ProductID],270)))),"",INDEX(tblTrans[Quantity],270)),"")</f>
        <v/>
      </c>
      <c r="E271" t="str">
        <f>IFERROR(IF(OR(INDEX(tblTrans[ProductID],270)="",ISNUMBER(SEARCH("ProductID",INDEX(tblTrans[ProductID],270)))),"",INDEX(tblTrans[Type],270)),"")</f>
        <v/>
      </c>
      <c r="F271" t="str">
        <f>IFERROR(IF(OR(INDEX(tblTrans[ProductID],270)="",ISNUMBER(SEARCH("ProductID",INDEX(tblTrans[ProductID],270)))),"",_xlfn.XLOOKUP(B271,tblProducts[ProductID],tblProducts[ProductName],"")),"")</f>
        <v/>
      </c>
      <c r="G271" t="str">
        <f>IFERROR(IF(OR(INDEX(tblTrans[ProductID],270)="",ISNUMBER(SEARCH("ProductID",INDEX(tblTrans[ProductID],270)))),"",_xlfn.XLOOKUP(B271,tblProducts[ProductID],tblProducts[Category],"")),"")</f>
        <v/>
      </c>
      <c r="H271" t="str">
        <f>IFERROR(IF(OR(INDEX(tblTrans[ProductID],270)="",ISNUMBER(SEARCH("ProductID",INDEX(tblTrans[ProductID],270)))),"",_xlfn.XLOOKUP(B271,tblProducts[ProductID],tblProducts[Supplier],"")),"")</f>
        <v/>
      </c>
      <c r="I271" t="str">
        <f>IFERROR(IF(OR(INDEX(tblTrans[ProductID],270)="",ISNUMBER(SEARCH("ProductID",INDEX(tblTrans[ProductID],270)))),"",D271*_xlfn.XLOOKUP(B271,tblProducts[ProductID],tblProducts[UnitCost],0)),"")</f>
        <v/>
      </c>
    </row>
    <row r="272" spans="1:9" x14ac:dyDescent="0.3">
      <c r="A272" s="5" t="str">
        <f>IFERROR(IF(OR(INDEX(tblTrans[ProductID],271)="",ISNUMBER(SEARCH("ProductID",INDEX(tblTrans[ProductID],271)))),"",INDEX(tblTrans[Date],271)),"")</f>
        <v/>
      </c>
      <c r="B272" t="str">
        <f>IFERROR(IF(OR(INDEX(tblTrans[ProductID],271)="",ISNUMBER(SEARCH("ProductID",INDEX(tblTrans[ProductID],271)))),"",INDEX(tblTrans[ProductID],271)),"")</f>
        <v/>
      </c>
      <c r="C272" t="str">
        <f>IFERROR(IF(OR(INDEX(tblTrans[ProductID],271)="",ISNUMBER(SEARCH("ProductID",INDEX(tblTrans[ProductID],271)))),"",INDEX(tblTrans[Location],271)),"")</f>
        <v/>
      </c>
      <c r="D272" t="str">
        <f>IFERROR(IF(OR(INDEX(tblTrans[ProductID],271)="",ISNUMBER(SEARCH("ProductID",INDEX(tblTrans[ProductID],271)))),"",INDEX(tblTrans[Quantity],271)),"")</f>
        <v/>
      </c>
      <c r="E272" t="str">
        <f>IFERROR(IF(OR(INDEX(tblTrans[ProductID],271)="",ISNUMBER(SEARCH("ProductID",INDEX(tblTrans[ProductID],271)))),"",INDEX(tblTrans[Type],271)),"")</f>
        <v/>
      </c>
      <c r="F272" t="str">
        <f>IFERROR(IF(OR(INDEX(tblTrans[ProductID],271)="",ISNUMBER(SEARCH("ProductID",INDEX(tblTrans[ProductID],271)))),"",_xlfn.XLOOKUP(B272,tblProducts[ProductID],tblProducts[ProductName],"")),"")</f>
        <v/>
      </c>
      <c r="G272" t="str">
        <f>IFERROR(IF(OR(INDEX(tblTrans[ProductID],271)="",ISNUMBER(SEARCH("ProductID",INDEX(tblTrans[ProductID],271)))),"",_xlfn.XLOOKUP(B272,tblProducts[ProductID],tblProducts[Category],"")),"")</f>
        <v/>
      </c>
      <c r="H272" t="str">
        <f>IFERROR(IF(OR(INDEX(tblTrans[ProductID],271)="",ISNUMBER(SEARCH("ProductID",INDEX(tblTrans[ProductID],271)))),"",_xlfn.XLOOKUP(B272,tblProducts[ProductID],tblProducts[Supplier],"")),"")</f>
        <v/>
      </c>
      <c r="I272" t="str">
        <f>IFERROR(IF(OR(INDEX(tblTrans[ProductID],271)="",ISNUMBER(SEARCH("ProductID",INDEX(tblTrans[ProductID],271)))),"",D272*_xlfn.XLOOKUP(B272,tblProducts[ProductID],tblProducts[UnitCost],0)),"")</f>
        <v/>
      </c>
    </row>
    <row r="273" spans="1:9" x14ac:dyDescent="0.3">
      <c r="A273" s="5" t="str">
        <f>IFERROR(IF(OR(INDEX(tblTrans[ProductID],272)="",ISNUMBER(SEARCH("ProductID",INDEX(tblTrans[ProductID],272)))),"",INDEX(tblTrans[Date],272)),"")</f>
        <v/>
      </c>
      <c r="B273" t="str">
        <f>IFERROR(IF(OR(INDEX(tblTrans[ProductID],272)="",ISNUMBER(SEARCH("ProductID",INDEX(tblTrans[ProductID],272)))),"",INDEX(tblTrans[ProductID],272)),"")</f>
        <v/>
      </c>
      <c r="C273" t="str">
        <f>IFERROR(IF(OR(INDEX(tblTrans[ProductID],272)="",ISNUMBER(SEARCH("ProductID",INDEX(tblTrans[ProductID],272)))),"",INDEX(tblTrans[Location],272)),"")</f>
        <v/>
      </c>
      <c r="D273" t="str">
        <f>IFERROR(IF(OR(INDEX(tblTrans[ProductID],272)="",ISNUMBER(SEARCH("ProductID",INDEX(tblTrans[ProductID],272)))),"",INDEX(tblTrans[Quantity],272)),"")</f>
        <v/>
      </c>
      <c r="E273" t="str">
        <f>IFERROR(IF(OR(INDEX(tblTrans[ProductID],272)="",ISNUMBER(SEARCH("ProductID",INDEX(tblTrans[ProductID],272)))),"",INDEX(tblTrans[Type],272)),"")</f>
        <v/>
      </c>
      <c r="F273" t="str">
        <f>IFERROR(IF(OR(INDEX(tblTrans[ProductID],272)="",ISNUMBER(SEARCH("ProductID",INDEX(tblTrans[ProductID],272)))),"",_xlfn.XLOOKUP(B273,tblProducts[ProductID],tblProducts[ProductName],"")),"")</f>
        <v/>
      </c>
      <c r="G273" t="str">
        <f>IFERROR(IF(OR(INDEX(tblTrans[ProductID],272)="",ISNUMBER(SEARCH("ProductID",INDEX(tblTrans[ProductID],272)))),"",_xlfn.XLOOKUP(B273,tblProducts[ProductID],tblProducts[Category],"")),"")</f>
        <v/>
      </c>
      <c r="H273" t="str">
        <f>IFERROR(IF(OR(INDEX(tblTrans[ProductID],272)="",ISNUMBER(SEARCH("ProductID",INDEX(tblTrans[ProductID],272)))),"",_xlfn.XLOOKUP(B273,tblProducts[ProductID],tblProducts[Supplier],"")),"")</f>
        <v/>
      </c>
      <c r="I273" t="str">
        <f>IFERROR(IF(OR(INDEX(tblTrans[ProductID],272)="",ISNUMBER(SEARCH("ProductID",INDEX(tblTrans[ProductID],272)))),"",D273*_xlfn.XLOOKUP(B273,tblProducts[ProductID],tblProducts[UnitCost],0)),"")</f>
        <v/>
      </c>
    </row>
    <row r="274" spans="1:9" x14ac:dyDescent="0.3">
      <c r="A274" s="5" t="str">
        <f>IFERROR(IF(OR(INDEX(tblTrans[ProductID],273)="",ISNUMBER(SEARCH("ProductID",INDEX(tblTrans[ProductID],273)))),"",INDEX(tblTrans[Date],273)),"")</f>
        <v/>
      </c>
      <c r="B274" t="str">
        <f>IFERROR(IF(OR(INDEX(tblTrans[ProductID],273)="",ISNUMBER(SEARCH("ProductID",INDEX(tblTrans[ProductID],273)))),"",INDEX(tblTrans[ProductID],273)),"")</f>
        <v/>
      </c>
      <c r="C274" t="str">
        <f>IFERROR(IF(OR(INDEX(tblTrans[ProductID],273)="",ISNUMBER(SEARCH("ProductID",INDEX(tblTrans[ProductID],273)))),"",INDEX(tblTrans[Location],273)),"")</f>
        <v/>
      </c>
      <c r="D274" t="str">
        <f>IFERROR(IF(OR(INDEX(tblTrans[ProductID],273)="",ISNUMBER(SEARCH("ProductID",INDEX(tblTrans[ProductID],273)))),"",INDEX(tblTrans[Quantity],273)),"")</f>
        <v/>
      </c>
      <c r="E274" t="str">
        <f>IFERROR(IF(OR(INDEX(tblTrans[ProductID],273)="",ISNUMBER(SEARCH("ProductID",INDEX(tblTrans[ProductID],273)))),"",INDEX(tblTrans[Type],273)),"")</f>
        <v/>
      </c>
      <c r="F274" t="str">
        <f>IFERROR(IF(OR(INDEX(tblTrans[ProductID],273)="",ISNUMBER(SEARCH("ProductID",INDEX(tblTrans[ProductID],273)))),"",_xlfn.XLOOKUP(B274,tblProducts[ProductID],tblProducts[ProductName],"")),"")</f>
        <v/>
      </c>
      <c r="G274" t="str">
        <f>IFERROR(IF(OR(INDEX(tblTrans[ProductID],273)="",ISNUMBER(SEARCH("ProductID",INDEX(tblTrans[ProductID],273)))),"",_xlfn.XLOOKUP(B274,tblProducts[ProductID],tblProducts[Category],"")),"")</f>
        <v/>
      </c>
      <c r="H274" t="str">
        <f>IFERROR(IF(OR(INDEX(tblTrans[ProductID],273)="",ISNUMBER(SEARCH("ProductID",INDEX(tblTrans[ProductID],273)))),"",_xlfn.XLOOKUP(B274,tblProducts[ProductID],tblProducts[Supplier],"")),"")</f>
        <v/>
      </c>
      <c r="I274" t="str">
        <f>IFERROR(IF(OR(INDEX(tblTrans[ProductID],273)="",ISNUMBER(SEARCH("ProductID",INDEX(tblTrans[ProductID],273)))),"",D274*_xlfn.XLOOKUP(B274,tblProducts[ProductID],tblProducts[UnitCost],0)),"")</f>
        <v/>
      </c>
    </row>
    <row r="275" spans="1:9" x14ac:dyDescent="0.3">
      <c r="A275" s="5" t="str">
        <f>IFERROR(IF(OR(INDEX(tblTrans[ProductID],274)="",ISNUMBER(SEARCH("ProductID",INDEX(tblTrans[ProductID],274)))),"",INDEX(tblTrans[Date],274)),"")</f>
        <v/>
      </c>
      <c r="B275" t="str">
        <f>IFERROR(IF(OR(INDEX(tblTrans[ProductID],274)="",ISNUMBER(SEARCH("ProductID",INDEX(tblTrans[ProductID],274)))),"",INDEX(tblTrans[ProductID],274)),"")</f>
        <v/>
      </c>
      <c r="C275" t="str">
        <f>IFERROR(IF(OR(INDEX(tblTrans[ProductID],274)="",ISNUMBER(SEARCH("ProductID",INDEX(tblTrans[ProductID],274)))),"",INDEX(tblTrans[Location],274)),"")</f>
        <v/>
      </c>
      <c r="D275" t="str">
        <f>IFERROR(IF(OR(INDEX(tblTrans[ProductID],274)="",ISNUMBER(SEARCH("ProductID",INDEX(tblTrans[ProductID],274)))),"",INDEX(tblTrans[Quantity],274)),"")</f>
        <v/>
      </c>
      <c r="E275" t="str">
        <f>IFERROR(IF(OR(INDEX(tblTrans[ProductID],274)="",ISNUMBER(SEARCH("ProductID",INDEX(tblTrans[ProductID],274)))),"",INDEX(tblTrans[Type],274)),"")</f>
        <v/>
      </c>
      <c r="F275" t="str">
        <f>IFERROR(IF(OR(INDEX(tblTrans[ProductID],274)="",ISNUMBER(SEARCH("ProductID",INDEX(tblTrans[ProductID],274)))),"",_xlfn.XLOOKUP(B275,tblProducts[ProductID],tblProducts[ProductName],"")),"")</f>
        <v/>
      </c>
      <c r="G275" t="str">
        <f>IFERROR(IF(OR(INDEX(tblTrans[ProductID],274)="",ISNUMBER(SEARCH("ProductID",INDEX(tblTrans[ProductID],274)))),"",_xlfn.XLOOKUP(B275,tblProducts[ProductID],tblProducts[Category],"")),"")</f>
        <v/>
      </c>
      <c r="H275" t="str">
        <f>IFERROR(IF(OR(INDEX(tblTrans[ProductID],274)="",ISNUMBER(SEARCH("ProductID",INDEX(tblTrans[ProductID],274)))),"",_xlfn.XLOOKUP(B275,tblProducts[ProductID],tblProducts[Supplier],"")),"")</f>
        <v/>
      </c>
      <c r="I275" t="str">
        <f>IFERROR(IF(OR(INDEX(tblTrans[ProductID],274)="",ISNUMBER(SEARCH("ProductID",INDEX(tblTrans[ProductID],274)))),"",D275*_xlfn.XLOOKUP(B275,tblProducts[ProductID],tblProducts[UnitCost],0)),"")</f>
        <v/>
      </c>
    </row>
    <row r="276" spans="1:9" x14ac:dyDescent="0.3">
      <c r="A276" s="5" t="str">
        <f>IFERROR(IF(OR(INDEX(tblTrans[ProductID],275)="",ISNUMBER(SEARCH("ProductID",INDEX(tblTrans[ProductID],275)))),"",INDEX(tblTrans[Date],275)),"")</f>
        <v/>
      </c>
      <c r="B276" t="str">
        <f>IFERROR(IF(OR(INDEX(tblTrans[ProductID],275)="",ISNUMBER(SEARCH("ProductID",INDEX(tblTrans[ProductID],275)))),"",INDEX(tblTrans[ProductID],275)),"")</f>
        <v/>
      </c>
      <c r="C276" t="str">
        <f>IFERROR(IF(OR(INDEX(tblTrans[ProductID],275)="",ISNUMBER(SEARCH("ProductID",INDEX(tblTrans[ProductID],275)))),"",INDEX(tblTrans[Location],275)),"")</f>
        <v/>
      </c>
      <c r="D276" t="str">
        <f>IFERROR(IF(OR(INDEX(tblTrans[ProductID],275)="",ISNUMBER(SEARCH("ProductID",INDEX(tblTrans[ProductID],275)))),"",INDEX(tblTrans[Quantity],275)),"")</f>
        <v/>
      </c>
      <c r="E276" t="str">
        <f>IFERROR(IF(OR(INDEX(tblTrans[ProductID],275)="",ISNUMBER(SEARCH("ProductID",INDEX(tblTrans[ProductID],275)))),"",INDEX(tblTrans[Type],275)),"")</f>
        <v/>
      </c>
      <c r="F276" t="str">
        <f>IFERROR(IF(OR(INDEX(tblTrans[ProductID],275)="",ISNUMBER(SEARCH("ProductID",INDEX(tblTrans[ProductID],275)))),"",_xlfn.XLOOKUP(B276,tblProducts[ProductID],tblProducts[ProductName],"")),"")</f>
        <v/>
      </c>
      <c r="G276" t="str">
        <f>IFERROR(IF(OR(INDEX(tblTrans[ProductID],275)="",ISNUMBER(SEARCH("ProductID",INDEX(tblTrans[ProductID],275)))),"",_xlfn.XLOOKUP(B276,tblProducts[ProductID],tblProducts[Category],"")),"")</f>
        <v/>
      </c>
      <c r="H276" t="str">
        <f>IFERROR(IF(OR(INDEX(tblTrans[ProductID],275)="",ISNUMBER(SEARCH("ProductID",INDEX(tblTrans[ProductID],275)))),"",_xlfn.XLOOKUP(B276,tblProducts[ProductID],tblProducts[Supplier],"")),"")</f>
        <v/>
      </c>
      <c r="I276" t="str">
        <f>IFERROR(IF(OR(INDEX(tblTrans[ProductID],275)="",ISNUMBER(SEARCH("ProductID",INDEX(tblTrans[ProductID],275)))),"",D276*_xlfn.XLOOKUP(B276,tblProducts[ProductID],tblProducts[UnitCost],0)),"")</f>
        <v/>
      </c>
    </row>
    <row r="277" spans="1:9" x14ac:dyDescent="0.3">
      <c r="A277" s="5" t="str">
        <f>IFERROR(IF(OR(INDEX(tblTrans[ProductID],276)="",ISNUMBER(SEARCH("ProductID",INDEX(tblTrans[ProductID],276)))),"",INDEX(tblTrans[Date],276)),"")</f>
        <v/>
      </c>
      <c r="B277" t="str">
        <f>IFERROR(IF(OR(INDEX(tblTrans[ProductID],276)="",ISNUMBER(SEARCH("ProductID",INDEX(tblTrans[ProductID],276)))),"",INDEX(tblTrans[ProductID],276)),"")</f>
        <v/>
      </c>
      <c r="C277" t="str">
        <f>IFERROR(IF(OR(INDEX(tblTrans[ProductID],276)="",ISNUMBER(SEARCH("ProductID",INDEX(tblTrans[ProductID],276)))),"",INDEX(tblTrans[Location],276)),"")</f>
        <v/>
      </c>
      <c r="D277" t="str">
        <f>IFERROR(IF(OR(INDEX(tblTrans[ProductID],276)="",ISNUMBER(SEARCH("ProductID",INDEX(tblTrans[ProductID],276)))),"",INDEX(tblTrans[Quantity],276)),"")</f>
        <v/>
      </c>
      <c r="E277" t="str">
        <f>IFERROR(IF(OR(INDEX(tblTrans[ProductID],276)="",ISNUMBER(SEARCH("ProductID",INDEX(tblTrans[ProductID],276)))),"",INDEX(tblTrans[Type],276)),"")</f>
        <v/>
      </c>
      <c r="F277" t="str">
        <f>IFERROR(IF(OR(INDEX(tblTrans[ProductID],276)="",ISNUMBER(SEARCH("ProductID",INDEX(tblTrans[ProductID],276)))),"",_xlfn.XLOOKUP(B277,tblProducts[ProductID],tblProducts[ProductName],"")),"")</f>
        <v/>
      </c>
      <c r="G277" t="str">
        <f>IFERROR(IF(OR(INDEX(tblTrans[ProductID],276)="",ISNUMBER(SEARCH("ProductID",INDEX(tblTrans[ProductID],276)))),"",_xlfn.XLOOKUP(B277,tblProducts[ProductID],tblProducts[Category],"")),"")</f>
        <v/>
      </c>
      <c r="H277" t="str">
        <f>IFERROR(IF(OR(INDEX(tblTrans[ProductID],276)="",ISNUMBER(SEARCH("ProductID",INDEX(tblTrans[ProductID],276)))),"",_xlfn.XLOOKUP(B277,tblProducts[ProductID],tblProducts[Supplier],"")),"")</f>
        <v/>
      </c>
      <c r="I277" t="str">
        <f>IFERROR(IF(OR(INDEX(tblTrans[ProductID],276)="",ISNUMBER(SEARCH("ProductID",INDEX(tblTrans[ProductID],276)))),"",D277*_xlfn.XLOOKUP(B277,tblProducts[ProductID],tblProducts[UnitCost],0)),"")</f>
        <v/>
      </c>
    </row>
    <row r="278" spans="1:9" x14ac:dyDescent="0.3">
      <c r="A278" s="5" t="str">
        <f>IFERROR(IF(OR(INDEX(tblTrans[ProductID],277)="",ISNUMBER(SEARCH("ProductID",INDEX(tblTrans[ProductID],277)))),"",INDEX(tblTrans[Date],277)),"")</f>
        <v/>
      </c>
      <c r="B278" t="str">
        <f>IFERROR(IF(OR(INDEX(tblTrans[ProductID],277)="",ISNUMBER(SEARCH("ProductID",INDEX(tblTrans[ProductID],277)))),"",INDEX(tblTrans[ProductID],277)),"")</f>
        <v/>
      </c>
      <c r="C278" t="str">
        <f>IFERROR(IF(OR(INDEX(tblTrans[ProductID],277)="",ISNUMBER(SEARCH("ProductID",INDEX(tblTrans[ProductID],277)))),"",INDEX(tblTrans[Location],277)),"")</f>
        <v/>
      </c>
      <c r="D278" t="str">
        <f>IFERROR(IF(OR(INDEX(tblTrans[ProductID],277)="",ISNUMBER(SEARCH("ProductID",INDEX(tblTrans[ProductID],277)))),"",INDEX(tblTrans[Quantity],277)),"")</f>
        <v/>
      </c>
      <c r="E278" t="str">
        <f>IFERROR(IF(OR(INDEX(tblTrans[ProductID],277)="",ISNUMBER(SEARCH("ProductID",INDEX(tblTrans[ProductID],277)))),"",INDEX(tblTrans[Type],277)),"")</f>
        <v/>
      </c>
      <c r="F278" t="str">
        <f>IFERROR(IF(OR(INDEX(tblTrans[ProductID],277)="",ISNUMBER(SEARCH("ProductID",INDEX(tblTrans[ProductID],277)))),"",_xlfn.XLOOKUP(B278,tblProducts[ProductID],tblProducts[ProductName],"")),"")</f>
        <v/>
      </c>
      <c r="G278" t="str">
        <f>IFERROR(IF(OR(INDEX(tblTrans[ProductID],277)="",ISNUMBER(SEARCH("ProductID",INDEX(tblTrans[ProductID],277)))),"",_xlfn.XLOOKUP(B278,tblProducts[ProductID],tblProducts[Category],"")),"")</f>
        <v/>
      </c>
      <c r="H278" t="str">
        <f>IFERROR(IF(OR(INDEX(tblTrans[ProductID],277)="",ISNUMBER(SEARCH("ProductID",INDEX(tblTrans[ProductID],277)))),"",_xlfn.XLOOKUP(B278,tblProducts[ProductID],tblProducts[Supplier],"")),"")</f>
        <v/>
      </c>
      <c r="I278" t="str">
        <f>IFERROR(IF(OR(INDEX(tblTrans[ProductID],277)="",ISNUMBER(SEARCH("ProductID",INDEX(tblTrans[ProductID],277)))),"",D278*_xlfn.XLOOKUP(B278,tblProducts[ProductID],tblProducts[UnitCost],0)),"")</f>
        <v/>
      </c>
    </row>
    <row r="279" spans="1:9" x14ac:dyDescent="0.3">
      <c r="A279" s="5" t="str">
        <f>IFERROR(IF(OR(INDEX(tblTrans[ProductID],278)="",ISNUMBER(SEARCH("ProductID",INDEX(tblTrans[ProductID],278)))),"",INDEX(tblTrans[Date],278)),"")</f>
        <v/>
      </c>
      <c r="B279" t="str">
        <f>IFERROR(IF(OR(INDEX(tblTrans[ProductID],278)="",ISNUMBER(SEARCH("ProductID",INDEX(tblTrans[ProductID],278)))),"",INDEX(tblTrans[ProductID],278)),"")</f>
        <v/>
      </c>
      <c r="C279" t="str">
        <f>IFERROR(IF(OR(INDEX(tblTrans[ProductID],278)="",ISNUMBER(SEARCH("ProductID",INDEX(tblTrans[ProductID],278)))),"",INDEX(tblTrans[Location],278)),"")</f>
        <v/>
      </c>
      <c r="D279" t="str">
        <f>IFERROR(IF(OR(INDEX(tblTrans[ProductID],278)="",ISNUMBER(SEARCH("ProductID",INDEX(tblTrans[ProductID],278)))),"",INDEX(tblTrans[Quantity],278)),"")</f>
        <v/>
      </c>
      <c r="E279" t="str">
        <f>IFERROR(IF(OR(INDEX(tblTrans[ProductID],278)="",ISNUMBER(SEARCH("ProductID",INDEX(tblTrans[ProductID],278)))),"",INDEX(tblTrans[Type],278)),"")</f>
        <v/>
      </c>
      <c r="F279" t="str">
        <f>IFERROR(IF(OR(INDEX(tblTrans[ProductID],278)="",ISNUMBER(SEARCH("ProductID",INDEX(tblTrans[ProductID],278)))),"",_xlfn.XLOOKUP(B279,tblProducts[ProductID],tblProducts[ProductName],"")),"")</f>
        <v/>
      </c>
      <c r="G279" t="str">
        <f>IFERROR(IF(OR(INDEX(tblTrans[ProductID],278)="",ISNUMBER(SEARCH("ProductID",INDEX(tblTrans[ProductID],278)))),"",_xlfn.XLOOKUP(B279,tblProducts[ProductID],tblProducts[Category],"")),"")</f>
        <v/>
      </c>
      <c r="H279" t="str">
        <f>IFERROR(IF(OR(INDEX(tblTrans[ProductID],278)="",ISNUMBER(SEARCH("ProductID",INDEX(tblTrans[ProductID],278)))),"",_xlfn.XLOOKUP(B279,tblProducts[ProductID],tblProducts[Supplier],"")),"")</f>
        <v/>
      </c>
      <c r="I279" t="str">
        <f>IFERROR(IF(OR(INDEX(tblTrans[ProductID],278)="",ISNUMBER(SEARCH("ProductID",INDEX(tblTrans[ProductID],278)))),"",D279*_xlfn.XLOOKUP(B279,tblProducts[ProductID],tblProducts[UnitCost],0)),"")</f>
        <v/>
      </c>
    </row>
    <row r="280" spans="1:9" x14ac:dyDescent="0.3">
      <c r="A280" s="5" t="str">
        <f>IFERROR(IF(OR(INDEX(tblTrans[ProductID],279)="",ISNUMBER(SEARCH("ProductID",INDEX(tblTrans[ProductID],279)))),"",INDEX(tblTrans[Date],279)),"")</f>
        <v/>
      </c>
      <c r="B280" t="str">
        <f>IFERROR(IF(OR(INDEX(tblTrans[ProductID],279)="",ISNUMBER(SEARCH("ProductID",INDEX(tblTrans[ProductID],279)))),"",INDEX(tblTrans[ProductID],279)),"")</f>
        <v/>
      </c>
      <c r="C280" t="str">
        <f>IFERROR(IF(OR(INDEX(tblTrans[ProductID],279)="",ISNUMBER(SEARCH("ProductID",INDEX(tblTrans[ProductID],279)))),"",INDEX(tblTrans[Location],279)),"")</f>
        <v/>
      </c>
      <c r="D280" t="str">
        <f>IFERROR(IF(OR(INDEX(tblTrans[ProductID],279)="",ISNUMBER(SEARCH("ProductID",INDEX(tblTrans[ProductID],279)))),"",INDEX(tblTrans[Quantity],279)),"")</f>
        <v/>
      </c>
      <c r="E280" t="str">
        <f>IFERROR(IF(OR(INDEX(tblTrans[ProductID],279)="",ISNUMBER(SEARCH("ProductID",INDEX(tblTrans[ProductID],279)))),"",INDEX(tblTrans[Type],279)),"")</f>
        <v/>
      </c>
      <c r="F280" t="str">
        <f>IFERROR(IF(OR(INDEX(tblTrans[ProductID],279)="",ISNUMBER(SEARCH("ProductID",INDEX(tblTrans[ProductID],279)))),"",_xlfn.XLOOKUP(B280,tblProducts[ProductID],tblProducts[ProductName],"")),"")</f>
        <v/>
      </c>
      <c r="G280" t="str">
        <f>IFERROR(IF(OR(INDEX(tblTrans[ProductID],279)="",ISNUMBER(SEARCH("ProductID",INDEX(tblTrans[ProductID],279)))),"",_xlfn.XLOOKUP(B280,tblProducts[ProductID],tblProducts[Category],"")),"")</f>
        <v/>
      </c>
      <c r="H280" t="str">
        <f>IFERROR(IF(OR(INDEX(tblTrans[ProductID],279)="",ISNUMBER(SEARCH("ProductID",INDEX(tblTrans[ProductID],279)))),"",_xlfn.XLOOKUP(B280,tblProducts[ProductID],tblProducts[Supplier],"")),"")</f>
        <v/>
      </c>
      <c r="I280" t="str">
        <f>IFERROR(IF(OR(INDEX(tblTrans[ProductID],279)="",ISNUMBER(SEARCH("ProductID",INDEX(tblTrans[ProductID],279)))),"",D280*_xlfn.XLOOKUP(B280,tblProducts[ProductID],tblProducts[UnitCost],0)),"")</f>
        <v/>
      </c>
    </row>
    <row r="281" spans="1:9" x14ac:dyDescent="0.3">
      <c r="A281" s="5" t="str">
        <f>IFERROR(IF(OR(INDEX(tblTrans[ProductID],280)="",ISNUMBER(SEARCH("ProductID",INDEX(tblTrans[ProductID],280)))),"",INDEX(tblTrans[Date],280)),"")</f>
        <v/>
      </c>
      <c r="B281" t="str">
        <f>IFERROR(IF(OR(INDEX(tblTrans[ProductID],280)="",ISNUMBER(SEARCH("ProductID",INDEX(tblTrans[ProductID],280)))),"",INDEX(tblTrans[ProductID],280)),"")</f>
        <v/>
      </c>
      <c r="C281" t="str">
        <f>IFERROR(IF(OR(INDEX(tblTrans[ProductID],280)="",ISNUMBER(SEARCH("ProductID",INDEX(tblTrans[ProductID],280)))),"",INDEX(tblTrans[Location],280)),"")</f>
        <v/>
      </c>
      <c r="D281" t="str">
        <f>IFERROR(IF(OR(INDEX(tblTrans[ProductID],280)="",ISNUMBER(SEARCH("ProductID",INDEX(tblTrans[ProductID],280)))),"",INDEX(tblTrans[Quantity],280)),"")</f>
        <v/>
      </c>
      <c r="E281" t="str">
        <f>IFERROR(IF(OR(INDEX(tblTrans[ProductID],280)="",ISNUMBER(SEARCH("ProductID",INDEX(tblTrans[ProductID],280)))),"",INDEX(tblTrans[Type],280)),"")</f>
        <v/>
      </c>
      <c r="F281" t="str">
        <f>IFERROR(IF(OR(INDEX(tblTrans[ProductID],280)="",ISNUMBER(SEARCH("ProductID",INDEX(tblTrans[ProductID],280)))),"",_xlfn.XLOOKUP(B281,tblProducts[ProductID],tblProducts[ProductName],"")),"")</f>
        <v/>
      </c>
      <c r="G281" t="str">
        <f>IFERROR(IF(OR(INDEX(tblTrans[ProductID],280)="",ISNUMBER(SEARCH("ProductID",INDEX(tblTrans[ProductID],280)))),"",_xlfn.XLOOKUP(B281,tblProducts[ProductID],tblProducts[Category],"")),"")</f>
        <v/>
      </c>
      <c r="H281" t="str">
        <f>IFERROR(IF(OR(INDEX(tblTrans[ProductID],280)="",ISNUMBER(SEARCH("ProductID",INDEX(tblTrans[ProductID],280)))),"",_xlfn.XLOOKUP(B281,tblProducts[ProductID],tblProducts[Supplier],"")),"")</f>
        <v/>
      </c>
      <c r="I281" t="str">
        <f>IFERROR(IF(OR(INDEX(tblTrans[ProductID],280)="",ISNUMBER(SEARCH("ProductID",INDEX(tblTrans[ProductID],280)))),"",D281*_xlfn.XLOOKUP(B281,tblProducts[ProductID],tblProducts[UnitCost],0)),"")</f>
        <v/>
      </c>
    </row>
    <row r="282" spans="1:9" x14ac:dyDescent="0.3">
      <c r="A282" s="5" t="str">
        <f>IFERROR(IF(OR(INDEX(tblTrans[ProductID],281)="",ISNUMBER(SEARCH("ProductID",INDEX(tblTrans[ProductID],281)))),"",INDEX(tblTrans[Date],281)),"")</f>
        <v/>
      </c>
      <c r="B282" t="str">
        <f>IFERROR(IF(OR(INDEX(tblTrans[ProductID],281)="",ISNUMBER(SEARCH("ProductID",INDEX(tblTrans[ProductID],281)))),"",INDEX(tblTrans[ProductID],281)),"")</f>
        <v/>
      </c>
      <c r="C282" t="str">
        <f>IFERROR(IF(OR(INDEX(tblTrans[ProductID],281)="",ISNUMBER(SEARCH("ProductID",INDEX(tblTrans[ProductID],281)))),"",INDEX(tblTrans[Location],281)),"")</f>
        <v/>
      </c>
      <c r="D282" t="str">
        <f>IFERROR(IF(OR(INDEX(tblTrans[ProductID],281)="",ISNUMBER(SEARCH("ProductID",INDEX(tblTrans[ProductID],281)))),"",INDEX(tblTrans[Quantity],281)),"")</f>
        <v/>
      </c>
      <c r="E282" t="str">
        <f>IFERROR(IF(OR(INDEX(tblTrans[ProductID],281)="",ISNUMBER(SEARCH("ProductID",INDEX(tblTrans[ProductID],281)))),"",INDEX(tblTrans[Type],281)),"")</f>
        <v/>
      </c>
      <c r="F282" t="str">
        <f>IFERROR(IF(OR(INDEX(tblTrans[ProductID],281)="",ISNUMBER(SEARCH("ProductID",INDEX(tblTrans[ProductID],281)))),"",_xlfn.XLOOKUP(B282,tblProducts[ProductID],tblProducts[ProductName],"")),"")</f>
        <v/>
      </c>
      <c r="G282" t="str">
        <f>IFERROR(IF(OR(INDEX(tblTrans[ProductID],281)="",ISNUMBER(SEARCH("ProductID",INDEX(tblTrans[ProductID],281)))),"",_xlfn.XLOOKUP(B282,tblProducts[ProductID],tblProducts[Category],"")),"")</f>
        <v/>
      </c>
      <c r="H282" t="str">
        <f>IFERROR(IF(OR(INDEX(tblTrans[ProductID],281)="",ISNUMBER(SEARCH("ProductID",INDEX(tblTrans[ProductID],281)))),"",_xlfn.XLOOKUP(B282,tblProducts[ProductID],tblProducts[Supplier],"")),"")</f>
        <v/>
      </c>
      <c r="I282" t="str">
        <f>IFERROR(IF(OR(INDEX(tblTrans[ProductID],281)="",ISNUMBER(SEARCH("ProductID",INDEX(tblTrans[ProductID],281)))),"",D282*_xlfn.XLOOKUP(B282,tblProducts[ProductID],tblProducts[UnitCost],0)),"")</f>
        <v/>
      </c>
    </row>
    <row r="283" spans="1:9" x14ac:dyDescent="0.3">
      <c r="A283" s="5" t="str">
        <f>IFERROR(IF(OR(INDEX(tblTrans[ProductID],282)="",ISNUMBER(SEARCH("ProductID",INDEX(tblTrans[ProductID],282)))),"",INDEX(tblTrans[Date],282)),"")</f>
        <v/>
      </c>
      <c r="B283" t="str">
        <f>IFERROR(IF(OR(INDEX(tblTrans[ProductID],282)="",ISNUMBER(SEARCH("ProductID",INDEX(tblTrans[ProductID],282)))),"",INDEX(tblTrans[ProductID],282)),"")</f>
        <v/>
      </c>
      <c r="C283" t="str">
        <f>IFERROR(IF(OR(INDEX(tblTrans[ProductID],282)="",ISNUMBER(SEARCH("ProductID",INDEX(tblTrans[ProductID],282)))),"",INDEX(tblTrans[Location],282)),"")</f>
        <v/>
      </c>
      <c r="D283" t="str">
        <f>IFERROR(IF(OR(INDEX(tblTrans[ProductID],282)="",ISNUMBER(SEARCH("ProductID",INDEX(tblTrans[ProductID],282)))),"",INDEX(tblTrans[Quantity],282)),"")</f>
        <v/>
      </c>
      <c r="E283" t="str">
        <f>IFERROR(IF(OR(INDEX(tblTrans[ProductID],282)="",ISNUMBER(SEARCH("ProductID",INDEX(tblTrans[ProductID],282)))),"",INDEX(tblTrans[Type],282)),"")</f>
        <v/>
      </c>
      <c r="F283" t="str">
        <f>IFERROR(IF(OR(INDEX(tblTrans[ProductID],282)="",ISNUMBER(SEARCH("ProductID",INDEX(tblTrans[ProductID],282)))),"",_xlfn.XLOOKUP(B283,tblProducts[ProductID],tblProducts[ProductName],"")),"")</f>
        <v/>
      </c>
      <c r="G283" t="str">
        <f>IFERROR(IF(OR(INDEX(tblTrans[ProductID],282)="",ISNUMBER(SEARCH("ProductID",INDEX(tblTrans[ProductID],282)))),"",_xlfn.XLOOKUP(B283,tblProducts[ProductID],tblProducts[Category],"")),"")</f>
        <v/>
      </c>
      <c r="H283" t="str">
        <f>IFERROR(IF(OR(INDEX(tblTrans[ProductID],282)="",ISNUMBER(SEARCH("ProductID",INDEX(tblTrans[ProductID],282)))),"",_xlfn.XLOOKUP(B283,tblProducts[ProductID],tblProducts[Supplier],"")),"")</f>
        <v/>
      </c>
      <c r="I283" t="str">
        <f>IFERROR(IF(OR(INDEX(tblTrans[ProductID],282)="",ISNUMBER(SEARCH("ProductID",INDEX(tblTrans[ProductID],282)))),"",D283*_xlfn.XLOOKUP(B283,tblProducts[ProductID],tblProducts[UnitCost],0)),"")</f>
        <v/>
      </c>
    </row>
    <row r="284" spans="1:9" x14ac:dyDescent="0.3">
      <c r="A284" s="5" t="str">
        <f>IFERROR(IF(OR(INDEX(tblTrans[ProductID],283)="",ISNUMBER(SEARCH("ProductID",INDEX(tblTrans[ProductID],283)))),"",INDEX(tblTrans[Date],283)),"")</f>
        <v/>
      </c>
      <c r="B284" t="str">
        <f>IFERROR(IF(OR(INDEX(tblTrans[ProductID],283)="",ISNUMBER(SEARCH("ProductID",INDEX(tblTrans[ProductID],283)))),"",INDEX(tblTrans[ProductID],283)),"")</f>
        <v/>
      </c>
      <c r="C284" t="str">
        <f>IFERROR(IF(OR(INDEX(tblTrans[ProductID],283)="",ISNUMBER(SEARCH("ProductID",INDEX(tblTrans[ProductID],283)))),"",INDEX(tblTrans[Location],283)),"")</f>
        <v/>
      </c>
      <c r="D284" t="str">
        <f>IFERROR(IF(OR(INDEX(tblTrans[ProductID],283)="",ISNUMBER(SEARCH("ProductID",INDEX(tblTrans[ProductID],283)))),"",INDEX(tblTrans[Quantity],283)),"")</f>
        <v/>
      </c>
      <c r="E284" t="str">
        <f>IFERROR(IF(OR(INDEX(tblTrans[ProductID],283)="",ISNUMBER(SEARCH("ProductID",INDEX(tblTrans[ProductID],283)))),"",INDEX(tblTrans[Type],283)),"")</f>
        <v/>
      </c>
      <c r="F284" t="str">
        <f>IFERROR(IF(OR(INDEX(tblTrans[ProductID],283)="",ISNUMBER(SEARCH("ProductID",INDEX(tblTrans[ProductID],283)))),"",_xlfn.XLOOKUP(B284,tblProducts[ProductID],tblProducts[ProductName],"")),"")</f>
        <v/>
      </c>
      <c r="G284" t="str">
        <f>IFERROR(IF(OR(INDEX(tblTrans[ProductID],283)="",ISNUMBER(SEARCH("ProductID",INDEX(tblTrans[ProductID],283)))),"",_xlfn.XLOOKUP(B284,tblProducts[ProductID],tblProducts[Category],"")),"")</f>
        <v/>
      </c>
      <c r="H284" t="str">
        <f>IFERROR(IF(OR(INDEX(tblTrans[ProductID],283)="",ISNUMBER(SEARCH("ProductID",INDEX(tblTrans[ProductID],283)))),"",_xlfn.XLOOKUP(B284,tblProducts[ProductID],tblProducts[Supplier],"")),"")</f>
        <v/>
      </c>
      <c r="I284" t="str">
        <f>IFERROR(IF(OR(INDEX(tblTrans[ProductID],283)="",ISNUMBER(SEARCH("ProductID",INDEX(tblTrans[ProductID],283)))),"",D284*_xlfn.XLOOKUP(B284,tblProducts[ProductID],tblProducts[UnitCost],0)),"")</f>
        <v/>
      </c>
    </row>
    <row r="285" spans="1:9" x14ac:dyDescent="0.3">
      <c r="A285" s="5" t="str">
        <f>IFERROR(IF(OR(INDEX(tblTrans[ProductID],284)="",ISNUMBER(SEARCH("ProductID",INDEX(tblTrans[ProductID],284)))),"",INDEX(tblTrans[Date],284)),"")</f>
        <v/>
      </c>
      <c r="B285" t="str">
        <f>IFERROR(IF(OR(INDEX(tblTrans[ProductID],284)="",ISNUMBER(SEARCH("ProductID",INDEX(tblTrans[ProductID],284)))),"",INDEX(tblTrans[ProductID],284)),"")</f>
        <v/>
      </c>
      <c r="C285" t="str">
        <f>IFERROR(IF(OR(INDEX(tblTrans[ProductID],284)="",ISNUMBER(SEARCH("ProductID",INDEX(tblTrans[ProductID],284)))),"",INDEX(tblTrans[Location],284)),"")</f>
        <v/>
      </c>
      <c r="D285" t="str">
        <f>IFERROR(IF(OR(INDEX(tblTrans[ProductID],284)="",ISNUMBER(SEARCH("ProductID",INDEX(tblTrans[ProductID],284)))),"",INDEX(tblTrans[Quantity],284)),"")</f>
        <v/>
      </c>
      <c r="E285" t="str">
        <f>IFERROR(IF(OR(INDEX(tblTrans[ProductID],284)="",ISNUMBER(SEARCH("ProductID",INDEX(tblTrans[ProductID],284)))),"",INDEX(tblTrans[Type],284)),"")</f>
        <v/>
      </c>
      <c r="F285" t="str">
        <f>IFERROR(IF(OR(INDEX(tblTrans[ProductID],284)="",ISNUMBER(SEARCH("ProductID",INDEX(tblTrans[ProductID],284)))),"",_xlfn.XLOOKUP(B285,tblProducts[ProductID],tblProducts[ProductName],"")),"")</f>
        <v/>
      </c>
      <c r="G285" t="str">
        <f>IFERROR(IF(OR(INDEX(tblTrans[ProductID],284)="",ISNUMBER(SEARCH("ProductID",INDEX(tblTrans[ProductID],284)))),"",_xlfn.XLOOKUP(B285,tblProducts[ProductID],tblProducts[Category],"")),"")</f>
        <v/>
      </c>
      <c r="H285" t="str">
        <f>IFERROR(IF(OR(INDEX(tblTrans[ProductID],284)="",ISNUMBER(SEARCH("ProductID",INDEX(tblTrans[ProductID],284)))),"",_xlfn.XLOOKUP(B285,tblProducts[ProductID],tblProducts[Supplier],"")),"")</f>
        <v/>
      </c>
      <c r="I285" t="str">
        <f>IFERROR(IF(OR(INDEX(tblTrans[ProductID],284)="",ISNUMBER(SEARCH("ProductID",INDEX(tblTrans[ProductID],284)))),"",D285*_xlfn.XLOOKUP(B285,tblProducts[ProductID],tblProducts[UnitCost],0)),"")</f>
        <v/>
      </c>
    </row>
    <row r="286" spans="1:9" x14ac:dyDescent="0.3">
      <c r="A286" s="5" t="str">
        <f>IFERROR(IF(OR(INDEX(tblTrans[ProductID],285)="",ISNUMBER(SEARCH("ProductID",INDEX(tblTrans[ProductID],285)))),"",INDEX(tblTrans[Date],285)),"")</f>
        <v/>
      </c>
      <c r="B286" t="str">
        <f>IFERROR(IF(OR(INDEX(tblTrans[ProductID],285)="",ISNUMBER(SEARCH("ProductID",INDEX(tblTrans[ProductID],285)))),"",INDEX(tblTrans[ProductID],285)),"")</f>
        <v/>
      </c>
      <c r="C286" t="str">
        <f>IFERROR(IF(OR(INDEX(tblTrans[ProductID],285)="",ISNUMBER(SEARCH("ProductID",INDEX(tblTrans[ProductID],285)))),"",INDEX(tblTrans[Location],285)),"")</f>
        <v/>
      </c>
      <c r="D286" t="str">
        <f>IFERROR(IF(OR(INDEX(tblTrans[ProductID],285)="",ISNUMBER(SEARCH("ProductID",INDEX(tblTrans[ProductID],285)))),"",INDEX(tblTrans[Quantity],285)),"")</f>
        <v/>
      </c>
      <c r="E286" t="str">
        <f>IFERROR(IF(OR(INDEX(tblTrans[ProductID],285)="",ISNUMBER(SEARCH("ProductID",INDEX(tblTrans[ProductID],285)))),"",INDEX(tblTrans[Type],285)),"")</f>
        <v/>
      </c>
      <c r="F286" t="str">
        <f>IFERROR(IF(OR(INDEX(tblTrans[ProductID],285)="",ISNUMBER(SEARCH("ProductID",INDEX(tblTrans[ProductID],285)))),"",_xlfn.XLOOKUP(B286,tblProducts[ProductID],tblProducts[ProductName],"")),"")</f>
        <v/>
      </c>
      <c r="G286" t="str">
        <f>IFERROR(IF(OR(INDEX(tblTrans[ProductID],285)="",ISNUMBER(SEARCH("ProductID",INDEX(tblTrans[ProductID],285)))),"",_xlfn.XLOOKUP(B286,tblProducts[ProductID],tblProducts[Category],"")),"")</f>
        <v/>
      </c>
      <c r="H286" t="str">
        <f>IFERROR(IF(OR(INDEX(tblTrans[ProductID],285)="",ISNUMBER(SEARCH("ProductID",INDEX(tblTrans[ProductID],285)))),"",_xlfn.XLOOKUP(B286,tblProducts[ProductID],tblProducts[Supplier],"")),"")</f>
        <v/>
      </c>
      <c r="I286" t="str">
        <f>IFERROR(IF(OR(INDEX(tblTrans[ProductID],285)="",ISNUMBER(SEARCH("ProductID",INDEX(tblTrans[ProductID],285)))),"",D286*_xlfn.XLOOKUP(B286,tblProducts[ProductID],tblProducts[UnitCost],0)),"")</f>
        <v/>
      </c>
    </row>
    <row r="287" spans="1:9" x14ac:dyDescent="0.3">
      <c r="A287" s="5" t="str">
        <f>IFERROR(IF(OR(INDEX(tblTrans[ProductID],286)="",ISNUMBER(SEARCH("ProductID",INDEX(tblTrans[ProductID],286)))),"",INDEX(tblTrans[Date],286)),"")</f>
        <v/>
      </c>
      <c r="B287" t="str">
        <f>IFERROR(IF(OR(INDEX(tblTrans[ProductID],286)="",ISNUMBER(SEARCH("ProductID",INDEX(tblTrans[ProductID],286)))),"",INDEX(tblTrans[ProductID],286)),"")</f>
        <v/>
      </c>
      <c r="C287" t="str">
        <f>IFERROR(IF(OR(INDEX(tblTrans[ProductID],286)="",ISNUMBER(SEARCH("ProductID",INDEX(tblTrans[ProductID],286)))),"",INDEX(tblTrans[Location],286)),"")</f>
        <v/>
      </c>
      <c r="D287" t="str">
        <f>IFERROR(IF(OR(INDEX(tblTrans[ProductID],286)="",ISNUMBER(SEARCH("ProductID",INDEX(tblTrans[ProductID],286)))),"",INDEX(tblTrans[Quantity],286)),"")</f>
        <v/>
      </c>
      <c r="E287" t="str">
        <f>IFERROR(IF(OR(INDEX(tblTrans[ProductID],286)="",ISNUMBER(SEARCH("ProductID",INDEX(tblTrans[ProductID],286)))),"",INDEX(tblTrans[Type],286)),"")</f>
        <v/>
      </c>
      <c r="F287" t="str">
        <f>IFERROR(IF(OR(INDEX(tblTrans[ProductID],286)="",ISNUMBER(SEARCH("ProductID",INDEX(tblTrans[ProductID],286)))),"",_xlfn.XLOOKUP(B287,tblProducts[ProductID],tblProducts[ProductName],"")),"")</f>
        <v/>
      </c>
      <c r="G287" t="str">
        <f>IFERROR(IF(OR(INDEX(tblTrans[ProductID],286)="",ISNUMBER(SEARCH("ProductID",INDEX(tblTrans[ProductID],286)))),"",_xlfn.XLOOKUP(B287,tblProducts[ProductID],tblProducts[Category],"")),"")</f>
        <v/>
      </c>
      <c r="H287" t="str">
        <f>IFERROR(IF(OR(INDEX(tblTrans[ProductID],286)="",ISNUMBER(SEARCH("ProductID",INDEX(tblTrans[ProductID],286)))),"",_xlfn.XLOOKUP(B287,tblProducts[ProductID],tblProducts[Supplier],"")),"")</f>
        <v/>
      </c>
      <c r="I287" t="str">
        <f>IFERROR(IF(OR(INDEX(tblTrans[ProductID],286)="",ISNUMBER(SEARCH("ProductID",INDEX(tblTrans[ProductID],286)))),"",D287*_xlfn.XLOOKUP(B287,tblProducts[ProductID],tblProducts[UnitCost],0)),"")</f>
        <v/>
      </c>
    </row>
    <row r="288" spans="1:9" x14ac:dyDescent="0.3">
      <c r="A288" s="5" t="str">
        <f>IFERROR(IF(OR(INDEX(tblTrans[ProductID],287)="",ISNUMBER(SEARCH("ProductID",INDEX(tblTrans[ProductID],287)))),"",INDEX(tblTrans[Date],287)),"")</f>
        <v/>
      </c>
      <c r="B288" t="str">
        <f>IFERROR(IF(OR(INDEX(tblTrans[ProductID],287)="",ISNUMBER(SEARCH("ProductID",INDEX(tblTrans[ProductID],287)))),"",INDEX(tblTrans[ProductID],287)),"")</f>
        <v/>
      </c>
      <c r="C288" t="str">
        <f>IFERROR(IF(OR(INDEX(tblTrans[ProductID],287)="",ISNUMBER(SEARCH("ProductID",INDEX(tblTrans[ProductID],287)))),"",INDEX(tblTrans[Location],287)),"")</f>
        <v/>
      </c>
      <c r="D288" t="str">
        <f>IFERROR(IF(OR(INDEX(tblTrans[ProductID],287)="",ISNUMBER(SEARCH("ProductID",INDEX(tblTrans[ProductID],287)))),"",INDEX(tblTrans[Quantity],287)),"")</f>
        <v/>
      </c>
      <c r="E288" t="str">
        <f>IFERROR(IF(OR(INDEX(tblTrans[ProductID],287)="",ISNUMBER(SEARCH("ProductID",INDEX(tblTrans[ProductID],287)))),"",INDEX(tblTrans[Type],287)),"")</f>
        <v/>
      </c>
      <c r="F288" t="str">
        <f>IFERROR(IF(OR(INDEX(tblTrans[ProductID],287)="",ISNUMBER(SEARCH("ProductID",INDEX(tblTrans[ProductID],287)))),"",_xlfn.XLOOKUP(B288,tblProducts[ProductID],tblProducts[ProductName],"")),"")</f>
        <v/>
      </c>
      <c r="G288" t="str">
        <f>IFERROR(IF(OR(INDEX(tblTrans[ProductID],287)="",ISNUMBER(SEARCH("ProductID",INDEX(tblTrans[ProductID],287)))),"",_xlfn.XLOOKUP(B288,tblProducts[ProductID],tblProducts[Category],"")),"")</f>
        <v/>
      </c>
      <c r="H288" t="str">
        <f>IFERROR(IF(OR(INDEX(tblTrans[ProductID],287)="",ISNUMBER(SEARCH("ProductID",INDEX(tblTrans[ProductID],287)))),"",_xlfn.XLOOKUP(B288,tblProducts[ProductID],tblProducts[Supplier],"")),"")</f>
        <v/>
      </c>
      <c r="I288" t="str">
        <f>IFERROR(IF(OR(INDEX(tblTrans[ProductID],287)="",ISNUMBER(SEARCH("ProductID",INDEX(tblTrans[ProductID],287)))),"",D288*_xlfn.XLOOKUP(B288,tblProducts[ProductID],tblProducts[UnitCost],0)),"")</f>
        <v/>
      </c>
    </row>
    <row r="289" spans="1:9" x14ac:dyDescent="0.3">
      <c r="A289" s="5" t="str">
        <f>IFERROR(IF(OR(INDEX(tblTrans[ProductID],288)="",ISNUMBER(SEARCH("ProductID",INDEX(tblTrans[ProductID],288)))),"",INDEX(tblTrans[Date],288)),"")</f>
        <v/>
      </c>
      <c r="B289" t="str">
        <f>IFERROR(IF(OR(INDEX(tblTrans[ProductID],288)="",ISNUMBER(SEARCH("ProductID",INDEX(tblTrans[ProductID],288)))),"",INDEX(tblTrans[ProductID],288)),"")</f>
        <v/>
      </c>
      <c r="C289" t="str">
        <f>IFERROR(IF(OR(INDEX(tblTrans[ProductID],288)="",ISNUMBER(SEARCH("ProductID",INDEX(tblTrans[ProductID],288)))),"",INDEX(tblTrans[Location],288)),"")</f>
        <v/>
      </c>
      <c r="D289" t="str">
        <f>IFERROR(IF(OR(INDEX(tblTrans[ProductID],288)="",ISNUMBER(SEARCH("ProductID",INDEX(tblTrans[ProductID],288)))),"",INDEX(tblTrans[Quantity],288)),"")</f>
        <v/>
      </c>
      <c r="E289" t="str">
        <f>IFERROR(IF(OR(INDEX(tblTrans[ProductID],288)="",ISNUMBER(SEARCH("ProductID",INDEX(tblTrans[ProductID],288)))),"",INDEX(tblTrans[Type],288)),"")</f>
        <v/>
      </c>
      <c r="F289" t="str">
        <f>IFERROR(IF(OR(INDEX(tblTrans[ProductID],288)="",ISNUMBER(SEARCH("ProductID",INDEX(tblTrans[ProductID],288)))),"",_xlfn.XLOOKUP(B289,tblProducts[ProductID],tblProducts[ProductName],"")),"")</f>
        <v/>
      </c>
      <c r="G289" t="str">
        <f>IFERROR(IF(OR(INDEX(tblTrans[ProductID],288)="",ISNUMBER(SEARCH("ProductID",INDEX(tblTrans[ProductID],288)))),"",_xlfn.XLOOKUP(B289,tblProducts[ProductID],tblProducts[Category],"")),"")</f>
        <v/>
      </c>
      <c r="H289" t="str">
        <f>IFERROR(IF(OR(INDEX(tblTrans[ProductID],288)="",ISNUMBER(SEARCH("ProductID",INDEX(tblTrans[ProductID],288)))),"",_xlfn.XLOOKUP(B289,tblProducts[ProductID],tblProducts[Supplier],"")),"")</f>
        <v/>
      </c>
      <c r="I289" t="str">
        <f>IFERROR(IF(OR(INDEX(tblTrans[ProductID],288)="",ISNUMBER(SEARCH("ProductID",INDEX(tblTrans[ProductID],288)))),"",D289*_xlfn.XLOOKUP(B289,tblProducts[ProductID],tblProducts[UnitCost],0)),"")</f>
        <v/>
      </c>
    </row>
    <row r="290" spans="1:9" x14ac:dyDescent="0.3">
      <c r="A290" s="5" t="str">
        <f>IFERROR(IF(OR(INDEX(tblTrans[ProductID],289)="",ISNUMBER(SEARCH("ProductID",INDEX(tblTrans[ProductID],289)))),"",INDEX(tblTrans[Date],289)),"")</f>
        <v/>
      </c>
      <c r="B290" t="str">
        <f>IFERROR(IF(OR(INDEX(tblTrans[ProductID],289)="",ISNUMBER(SEARCH("ProductID",INDEX(tblTrans[ProductID],289)))),"",INDEX(tblTrans[ProductID],289)),"")</f>
        <v/>
      </c>
      <c r="C290" t="str">
        <f>IFERROR(IF(OR(INDEX(tblTrans[ProductID],289)="",ISNUMBER(SEARCH("ProductID",INDEX(tblTrans[ProductID],289)))),"",INDEX(tblTrans[Location],289)),"")</f>
        <v/>
      </c>
      <c r="D290" t="str">
        <f>IFERROR(IF(OR(INDEX(tblTrans[ProductID],289)="",ISNUMBER(SEARCH("ProductID",INDEX(tblTrans[ProductID],289)))),"",INDEX(tblTrans[Quantity],289)),"")</f>
        <v/>
      </c>
      <c r="E290" t="str">
        <f>IFERROR(IF(OR(INDEX(tblTrans[ProductID],289)="",ISNUMBER(SEARCH("ProductID",INDEX(tblTrans[ProductID],289)))),"",INDEX(tblTrans[Type],289)),"")</f>
        <v/>
      </c>
      <c r="F290" t="str">
        <f>IFERROR(IF(OR(INDEX(tblTrans[ProductID],289)="",ISNUMBER(SEARCH("ProductID",INDEX(tblTrans[ProductID],289)))),"",_xlfn.XLOOKUP(B290,tblProducts[ProductID],tblProducts[ProductName],"")),"")</f>
        <v/>
      </c>
      <c r="G290" t="str">
        <f>IFERROR(IF(OR(INDEX(tblTrans[ProductID],289)="",ISNUMBER(SEARCH("ProductID",INDEX(tblTrans[ProductID],289)))),"",_xlfn.XLOOKUP(B290,tblProducts[ProductID],tblProducts[Category],"")),"")</f>
        <v/>
      </c>
      <c r="H290" t="str">
        <f>IFERROR(IF(OR(INDEX(tblTrans[ProductID],289)="",ISNUMBER(SEARCH("ProductID",INDEX(tblTrans[ProductID],289)))),"",_xlfn.XLOOKUP(B290,tblProducts[ProductID],tblProducts[Supplier],"")),"")</f>
        <v/>
      </c>
      <c r="I290" t="str">
        <f>IFERROR(IF(OR(INDEX(tblTrans[ProductID],289)="",ISNUMBER(SEARCH("ProductID",INDEX(tblTrans[ProductID],289)))),"",D290*_xlfn.XLOOKUP(B290,tblProducts[ProductID],tblProducts[UnitCost],0)),"")</f>
        <v/>
      </c>
    </row>
    <row r="291" spans="1:9" x14ac:dyDescent="0.3">
      <c r="A291" s="5" t="str">
        <f>IFERROR(IF(OR(INDEX(tblTrans[ProductID],290)="",ISNUMBER(SEARCH("ProductID",INDEX(tblTrans[ProductID],290)))),"",INDEX(tblTrans[Date],290)),"")</f>
        <v/>
      </c>
      <c r="B291" t="str">
        <f>IFERROR(IF(OR(INDEX(tblTrans[ProductID],290)="",ISNUMBER(SEARCH("ProductID",INDEX(tblTrans[ProductID],290)))),"",INDEX(tblTrans[ProductID],290)),"")</f>
        <v/>
      </c>
      <c r="C291" t="str">
        <f>IFERROR(IF(OR(INDEX(tblTrans[ProductID],290)="",ISNUMBER(SEARCH("ProductID",INDEX(tblTrans[ProductID],290)))),"",INDEX(tblTrans[Location],290)),"")</f>
        <v/>
      </c>
      <c r="D291" t="str">
        <f>IFERROR(IF(OR(INDEX(tblTrans[ProductID],290)="",ISNUMBER(SEARCH("ProductID",INDEX(tblTrans[ProductID],290)))),"",INDEX(tblTrans[Quantity],290)),"")</f>
        <v/>
      </c>
      <c r="E291" t="str">
        <f>IFERROR(IF(OR(INDEX(tblTrans[ProductID],290)="",ISNUMBER(SEARCH("ProductID",INDEX(tblTrans[ProductID],290)))),"",INDEX(tblTrans[Type],290)),"")</f>
        <v/>
      </c>
      <c r="F291" t="str">
        <f>IFERROR(IF(OR(INDEX(tblTrans[ProductID],290)="",ISNUMBER(SEARCH("ProductID",INDEX(tblTrans[ProductID],290)))),"",_xlfn.XLOOKUP(B291,tblProducts[ProductID],tblProducts[ProductName],"")),"")</f>
        <v/>
      </c>
      <c r="G291" t="str">
        <f>IFERROR(IF(OR(INDEX(tblTrans[ProductID],290)="",ISNUMBER(SEARCH("ProductID",INDEX(tblTrans[ProductID],290)))),"",_xlfn.XLOOKUP(B291,tblProducts[ProductID],tblProducts[Category],"")),"")</f>
        <v/>
      </c>
      <c r="H291" t="str">
        <f>IFERROR(IF(OR(INDEX(tblTrans[ProductID],290)="",ISNUMBER(SEARCH("ProductID",INDEX(tblTrans[ProductID],290)))),"",_xlfn.XLOOKUP(B291,tblProducts[ProductID],tblProducts[Supplier],"")),"")</f>
        <v/>
      </c>
      <c r="I291" t="str">
        <f>IFERROR(IF(OR(INDEX(tblTrans[ProductID],290)="",ISNUMBER(SEARCH("ProductID",INDEX(tblTrans[ProductID],290)))),"",D291*_xlfn.XLOOKUP(B291,tblProducts[ProductID],tblProducts[UnitCost],0)),"")</f>
        <v/>
      </c>
    </row>
    <row r="292" spans="1:9" x14ac:dyDescent="0.3">
      <c r="A292" s="5" t="str">
        <f>IFERROR(IF(OR(INDEX(tblTrans[ProductID],291)="",ISNUMBER(SEARCH("ProductID",INDEX(tblTrans[ProductID],291)))),"",INDEX(tblTrans[Date],291)),"")</f>
        <v/>
      </c>
      <c r="B292" t="str">
        <f>IFERROR(IF(OR(INDEX(tblTrans[ProductID],291)="",ISNUMBER(SEARCH("ProductID",INDEX(tblTrans[ProductID],291)))),"",INDEX(tblTrans[ProductID],291)),"")</f>
        <v/>
      </c>
      <c r="C292" t="str">
        <f>IFERROR(IF(OR(INDEX(tblTrans[ProductID],291)="",ISNUMBER(SEARCH("ProductID",INDEX(tblTrans[ProductID],291)))),"",INDEX(tblTrans[Location],291)),"")</f>
        <v/>
      </c>
      <c r="D292" t="str">
        <f>IFERROR(IF(OR(INDEX(tblTrans[ProductID],291)="",ISNUMBER(SEARCH("ProductID",INDEX(tblTrans[ProductID],291)))),"",INDEX(tblTrans[Quantity],291)),"")</f>
        <v/>
      </c>
      <c r="E292" t="str">
        <f>IFERROR(IF(OR(INDEX(tblTrans[ProductID],291)="",ISNUMBER(SEARCH("ProductID",INDEX(tblTrans[ProductID],291)))),"",INDEX(tblTrans[Type],291)),"")</f>
        <v/>
      </c>
      <c r="F292" t="str">
        <f>IFERROR(IF(OR(INDEX(tblTrans[ProductID],291)="",ISNUMBER(SEARCH("ProductID",INDEX(tblTrans[ProductID],291)))),"",_xlfn.XLOOKUP(B292,tblProducts[ProductID],tblProducts[ProductName],"")),"")</f>
        <v/>
      </c>
      <c r="G292" t="str">
        <f>IFERROR(IF(OR(INDEX(tblTrans[ProductID],291)="",ISNUMBER(SEARCH("ProductID",INDEX(tblTrans[ProductID],291)))),"",_xlfn.XLOOKUP(B292,tblProducts[ProductID],tblProducts[Category],"")),"")</f>
        <v/>
      </c>
      <c r="H292" t="str">
        <f>IFERROR(IF(OR(INDEX(tblTrans[ProductID],291)="",ISNUMBER(SEARCH("ProductID",INDEX(tblTrans[ProductID],291)))),"",_xlfn.XLOOKUP(B292,tblProducts[ProductID],tblProducts[Supplier],"")),"")</f>
        <v/>
      </c>
      <c r="I292" t="str">
        <f>IFERROR(IF(OR(INDEX(tblTrans[ProductID],291)="",ISNUMBER(SEARCH("ProductID",INDEX(tblTrans[ProductID],291)))),"",D292*_xlfn.XLOOKUP(B292,tblProducts[ProductID],tblProducts[UnitCost],0)),"")</f>
        <v/>
      </c>
    </row>
    <row r="293" spans="1:9" x14ac:dyDescent="0.3">
      <c r="A293" s="5" t="str">
        <f>IFERROR(IF(OR(INDEX(tblTrans[ProductID],292)="",ISNUMBER(SEARCH("ProductID",INDEX(tblTrans[ProductID],292)))),"",INDEX(tblTrans[Date],292)),"")</f>
        <v/>
      </c>
      <c r="B293" t="str">
        <f>IFERROR(IF(OR(INDEX(tblTrans[ProductID],292)="",ISNUMBER(SEARCH("ProductID",INDEX(tblTrans[ProductID],292)))),"",INDEX(tblTrans[ProductID],292)),"")</f>
        <v/>
      </c>
      <c r="C293" t="str">
        <f>IFERROR(IF(OR(INDEX(tblTrans[ProductID],292)="",ISNUMBER(SEARCH("ProductID",INDEX(tblTrans[ProductID],292)))),"",INDEX(tblTrans[Location],292)),"")</f>
        <v/>
      </c>
      <c r="D293" t="str">
        <f>IFERROR(IF(OR(INDEX(tblTrans[ProductID],292)="",ISNUMBER(SEARCH("ProductID",INDEX(tblTrans[ProductID],292)))),"",INDEX(tblTrans[Quantity],292)),"")</f>
        <v/>
      </c>
      <c r="E293" t="str">
        <f>IFERROR(IF(OR(INDEX(tblTrans[ProductID],292)="",ISNUMBER(SEARCH("ProductID",INDEX(tblTrans[ProductID],292)))),"",INDEX(tblTrans[Type],292)),"")</f>
        <v/>
      </c>
      <c r="F293" t="str">
        <f>IFERROR(IF(OR(INDEX(tblTrans[ProductID],292)="",ISNUMBER(SEARCH("ProductID",INDEX(tblTrans[ProductID],292)))),"",_xlfn.XLOOKUP(B293,tblProducts[ProductID],tblProducts[ProductName],"")),"")</f>
        <v/>
      </c>
      <c r="G293" t="str">
        <f>IFERROR(IF(OR(INDEX(tblTrans[ProductID],292)="",ISNUMBER(SEARCH("ProductID",INDEX(tblTrans[ProductID],292)))),"",_xlfn.XLOOKUP(B293,tblProducts[ProductID],tblProducts[Category],"")),"")</f>
        <v/>
      </c>
      <c r="H293" t="str">
        <f>IFERROR(IF(OR(INDEX(tblTrans[ProductID],292)="",ISNUMBER(SEARCH("ProductID",INDEX(tblTrans[ProductID],292)))),"",_xlfn.XLOOKUP(B293,tblProducts[ProductID],tblProducts[Supplier],"")),"")</f>
        <v/>
      </c>
      <c r="I293" t="str">
        <f>IFERROR(IF(OR(INDEX(tblTrans[ProductID],292)="",ISNUMBER(SEARCH("ProductID",INDEX(tblTrans[ProductID],292)))),"",D293*_xlfn.XLOOKUP(B293,tblProducts[ProductID],tblProducts[UnitCost],0)),"")</f>
        <v/>
      </c>
    </row>
    <row r="294" spans="1:9" x14ac:dyDescent="0.3">
      <c r="A294" s="5" t="str">
        <f>IFERROR(IF(OR(INDEX(tblTrans[ProductID],293)="",ISNUMBER(SEARCH("ProductID",INDEX(tblTrans[ProductID],293)))),"",INDEX(tblTrans[Date],293)),"")</f>
        <v/>
      </c>
      <c r="B294" t="str">
        <f>IFERROR(IF(OR(INDEX(tblTrans[ProductID],293)="",ISNUMBER(SEARCH("ProductID",INDEX(tblTrans[ProductID],293)))),"",INDEX(tblTrans[ProductID],293)),"")</f>
        <v/>
      </c>
      <c r="C294" t="str">
        <f>IFERROR(IF(OR(INDEX(tblTrans[ProductID],293)="",ISNUMBER(SEARCH("ProductID",INDEX(tblTrans[ProductID],293)))),"",INDEX(tblTrans[Location],293)),"")</f>
        <v/>
      </c>
      <c r="D294" t="str">
        <f>IFERROR(IF(OR(INDEX(tblTrans[ProductID],293)="",ISNUMBER(SEARCH("ProductID",INDEX(tblTrans[ProductID],293)))),"",INDEX(tblTrans[Quantity],293)),"")</f>
        <v/>
      </c>
      <c r="E294" t="str">
        <f>IFERROR(IF(OR(INDEX(tblTrans[ProductID],293)="",ISNUMBER(SEARCH("ProductID",INDEX(tblTrans[ProductID],293)))),"",INDEX(tblTrans[Type],293)),"")</f>
        <v/>
      </c>
      <c r="F294" t="str">
        <f>IFERROR(IF(OR(INDEX(tblTrans[ProductID],293)="",ISNUMBER(SEARCH("ProductID",INDEX(tblTrans[ProductID],293)))),"",_xlfn.XLOOKUP(B294,tblProducts[ProductID],tblProducts[ProductName],"")),"")</f>
        <v/>
      </c>
      <c r="G294" t="str">
        <f>IFERROR(IF(OR(INDEX(tblTrans[ProductID],293)="",ISNUMBER(SEARCH("ProductID",INDEX(tblTrans[ProductID],293)))),"",_xlfn.XLOOKUP(B294,tblProducts[ProductID],tblProducts[Category],"")),"")</f>
        <v/>
      </c>
      <c r="H294" t="str">
        <f>IFERROR(IF(OR(INDEX(tblTrans[ProductID],293)="",ISNUMBER(SEARCH("ProductID",INDEX(tblTrans[ProductID],293)))),"",_xlfn.XLOOKUP(B294,tblProducts[ProductID],tblProducts[Supplier],"")),"")</f>
        <v/>
      </c>
      <c r="I294" t="str">
        <f>IFERROR(IF(OR(INDEX(tblTrans[ProductID],293)="",ISNUMBER(SEARCH("ProductID",INDEX(tblTrans[ProductID],293)))),"",D294*_xlfn.XLOOKUP(B294,tblProducts[ProductID],tblProducts[UnitCost],0)),"")</f>
        <v/>
      </c>
    </row>
    <row r="295" spans="1:9" x14ac:dyDescent="0.3">
      <c r="A295" s="5" t="str">
        <f>IFERROR(IF(OR(INDEX(tblTrans[ProductID],294)="",ISNUMBER(SEARCH("ProductID",INDEX(tblTrans[ProductID],294)))),"",INDEX(tblTrans[Date],294)),"")</f>
        <v/>
      </c>
      <c r="B295" t="str">
        <f>IFERROR(IF(OR(INDEX(tblTrans[ProductID],294)="",ISNUMBER(SEARCH("ProductID",INDEX(tblTrans[ProductID],294)))),"",INDEX(tblTrans[ProductID],294)),"")</f>
        <v/>
      </c>
      <c r="C295" t="str">
        <f>IFERROR(IF(OR(INDEX(tblTrans[ProductID],294)="",ISNUMBER(SEARCH("ProductID",INDEX(tblTrans[ProductID],294)))),"",INDEX(tblTrans[Location],294)),"")</f>
        <v/>
      </c>
      <c r="D295" t="str">
        <f>IFERROR(IF(OR(INDEX(tblTrans[ProductID],294)="",ISNUMBER(SEARCH("ProductID",INDEX(tblTrans[ProductID],294)))),"",INDEX(tblTrans[Quantity],294)),"")</f>
        <v/>
      </c>
      <c r="E295" t="str">
        <f>IFERROR(IF(OR(INDEX(tblTrans[ProductID],294)="",ISNUMBER(SEARCH("ProductID",INDEX(tblTrans[ProductID],294)))),"",INDEX(tblTrans[Type],294)),"")</f>
        <v/>
      </c>
      <c r="F295" t="str">
        <f>IFERROR(IF(OR(INDEX(tblTrans[ProductID],294)="",ISNUMBER(SEARCH("ProductID",INDEX(tblTrans[ProductID],294)))),"",_xlfn.XLOOKUP(B295,tblProducts[ProductID],tblProducts[ProductName],"")),"")</f>
        <v/>
      </c>
      <c r="G295" t="str">
        <f>IFERROR(IF(OR(INDEX(tblTrans[ProductID],294)="",ISNUMBER(SEARCH("ProductID",INDEX(tblTrans[ProductID],294)))),"",_xlfn.XLOOKUP(B295,tblProducts[ProductID],tblProducts[Category],"")),"")</f>
        <v/>
      </c>
      <c r="H295" t="str">
        <f>IFERROR(IF(OR(INDEX(tblTrans[ProductID],294)="",ISNUMBER(SEARCH("ProductID",INDEX(tblTrans[ProductID],294)))),"",_xlfn.XLOOKUP(B295,tblProducts[ProductID],tblProducts[Supplier],"")),"")</f>
        <v/>
      </c>
      <c r="I295" t="str">
        <f>IFERROR(IF(OR(INDEX(tblTrans[ProductID],294)="",ISNUMBER(SEARCH("ProductID",INDEX(tblTrans[ProductID],294)))),"",D295*_xlfn.XLOOKUP(B295,tblProducts[ProductID],tblProducts[UnitCost],0)),"")</f>
        <v/>
      </c>
    </row>
    <row r="296" spans="1:9" x14ac:dyDescent="0.3">
      <c r="A296" s="5" t="str">
        <f>IFERROR(IF(OR(INDEX(tblTrans[ProductID],295)="",ISNUMBER(SEARCH("ProductID",INDEX(tblTrans[ProductID],295)))),"",INDEX(tblTrans[Date],295)),"")</f>
        <v/>
      </c>
      <c r="B296" t="str">
        <f>IFERROR(IF(OR(INDEX(tblTrans[ProductID],295)="",ISNUMBER(SEARCH("ProductID",INDEX(tblTrans[ProductID],295)))),"",INDEX(tblTrans[ProductID],295)),"")</f>
        <v/>
      </c>
      <c r="C296" t="str">
        <f>IFERROR(IF(OR(INDEX(tblTrans[ProductID],295)="",ISNUMBER(SEARCH("ProductID",INDEX(tblTrans[ProductID],295)))),"",INDEX(tblTrans[Location],295)),"")</f>
        <v/>
      </c>
      <c r="D296" t="str">
        <f>IFERROR(IF(OR(INDEX(tblTrans[ProductID],295)="",ISNUMBER(SEARCH("ProductID",INDEX(tblTrans[ProductID],295)))),"",INDEX(tblTrans[Quantity],295)),"")</f>
        <v/>
      </c>
      <c r="E296" t="str">
        <f>IFERROR(IF(OR(INDEX(tblTrans[ProductID],295)="",ISNUMBER(SEARCH("ProductID",INDEX(tblTrans[ProductID],295)))),"",INDEX(tblTrans[Type],295)),"")</f>
        <v/>
      </c>
      <c r="F296" t="str">
        <f>IFERROR(IF(OR(INDEX(tblTrans[ProductID],295)="",ISNUMBER(SEARCH("ProductID",INDEX(tblTrans[ProductID],295)))),"",_xlfn.XLOOKUP(B296,tblProducts[ProductID],tblProducts[ProductName],"")),"")</f>
        <v/>
      </c>
      <c r="G296" t="str">
        <f>IFERROR(IF(OR(INDEX(tblTrans[ProductID],295)="",ISNUMBER(SEARCH("ProductID",INDEX(tblTrans[ProductID],295)))),"",_xlfn.XLOOKUP(B296,tblProducts[ProductID],tblProducts[Category],"")),"")</f>
        <v/>
      </c>
      <c r="H296" t="str">
        <f>IFERROR(IF(OR(INDEX(tblTrans[ProductID],295)="",ISNUMBER(SEARCH("ProductID",INDEX(tblTrans[ProductID],295)))),"",_xlfn.XLOOKUP(B296,tblProducts[ProductID],tblProducts[Supplier],"")),"")</f>
        <v/>
      </c>
      <c r="I296" t="str">
        <f>IFERROR(IF(OR(INDEX(tblTrans[ProductID],295)="",ISNUMBER(SEARCH("ProductID",INDEX(tblTrans[ProductID],295)))),"",D296*_xlfn.XLOOKUP(B296,tblProducts[ProductID],tblProducts[UnitCost],0)),"")</f>
        <v/>
      </c>
    </row>
    <row r="297" spans="1:9" x14ac:dyDescent="0.3">
      <c r="A297" s="5" t="str">
        <f>IFERROR(IF(OR(INDEX(tblTrans[ProductID],296)="",ISNUMBER(SEARCH("ProductID",INDEX(tblTrans[ProductID],296)))),"",INDEX(tblTrans[Date],296)),"")</f>
        <v/>
      </c>
      <c r="B297" t="str">
        <f>IFERROR(IF(OR(INDEX(tblTrans[ProductID],296)="",ISNUMBER(SEARCH("ProductID",INDEX(tblTrans[ProductID],296)))),"",INDEX(tblTrans[ProductID],296)),"")</f>
        <v/>
      </c>
      <c r="C297" t="str">
        <f>IFERROR(IF(OR(INDEX(tblTrans[ProductID],296)="",ISNUMBER(SEARCH("ProductID",INDEX(tblTrans[ProductID],296)))),"",INDEX(tblTrans[Location],296)),"")</f>
        <v/>
      </c>
      <c r="D297" t="str">
        <f>IFERROR(IF(OR(INDEX(tblTrans[ProductID],296)="",ISNUMBER(SEARCH("ProductID",INDEX(tblTrans[ProductID],296)))),"",INDEX(tblTrans[Quantity],296)),"")</f>
        <v/>
      </c>
      <c r="E297" t="str">
        <f>IFERROR(IF(OR(INDEX(tblTrans[ProductID],296)="",ISNUMBER(SEARCH("ProductID",INDEX(tblTrans[ProductID],296)))),"",INDEX(tblTrans[Type],296)),"")</f>
        <v/>
      </c>
      <c r="F297" t="str">
        <f>IFERROR(IF(OR(INDEX(tblTrans[ProductID],296)="",ISNUMBER(SEARCH("ProductID",INDEX(tblTrans[ProductID],296)))),"",_xlfn.XLOOKUP(B297,tblProducts[ProductID],tblProducts[ProductName],"")),"")</f>
        <v/>
      </c>
      <c r="G297" t="str">
        <f>IFERROR(IF(OR(INDEX(tblTrans[ProductID],296)="",ISNUMBER(SEARCH("ProductID",INDEX(tblTrans[ProductID],296)))),"",_xlfn.XLOOKUP(B297,tblProducts[ProductID],tblProducts[Category],"")),"")</f>
        <v/>
      </c>
      <c r="H297" t="str">
        <f>IFERROR(IF(OR(INDEX(tblTrans[ProductID],296)="",ISNUMBER(SEARCH("ProductID",INDEX(tblTrans[ProductID],296)))),"",_xlfn.XLOOKUP(B297,tblProducts[ProductID],tblProducts[Supplier],"")),"")</f>
        <v/>
      </c>
      <c r="I297" t="str">
        <f>IFERROR(IF(OR(INDEX(tblTrans[ProductID],296)="",ISNUMBER(SEARCH("ProductID",INDEX(tblTrans[ProductID],296)))),"",D297*_xlfn.XLOOKUP(B297,tblProducts[ProductID],tblProducts[UnitCost],0)),"")</f>
        <v/>
      </c>
    </row>
    <row r="298" spans="1:9" x14ac:dyDescent="0.3">
      <c r="A298" s="5" t="str">
        <f>IFERROR(IF(OR(INDEX(tblTrans[ProductID],297)="",ISNUMBER(SEARCH("ProductID",INDEX(tblTrans[ProductID],297)))),"",INDEX(tblTrans[Date],297)),"")</f>
        <v/>
      </c>
      <c r="B298" t="str">
        <f>IFERROR(IF(OR(INDEX(tblTrans[ProductID],297)="",ISNUMBER(SEARCH("ProductID",INDEX(tblTrans[ProductID],297)))),"",INDEX(tblTrans[ProductID],297)),"")</f>
        <v/>
      </c>
      <c r="C298" t="str">
        <f>IFERROR(IF(OR(INDEX(tblTrans[ProductID],297)="",ISNUMBER(SEARCH("ProductID",INDEX(tblTrans[ProductID],297)))),"",INDEX(tblTrans[Location],297)),"")</f>
        <v/>
      </c>
      <c r="D298" t="str">
        <f>IFERROR(IF(OR(INDEX(tblTrans[ProductID],297)="",ISNUMBER(SEARCH("ProductID",INDEX(tblTrans[ProductID],297)))),"",INDEX(tblTrans[Quantity],297)),"")</f>
        <v/>
      </c>
      <c r="E298" t="str">
        <f>IFERROR(IF(OR(INDEX(tblTrans[ProductID],297)="",ISNUMBER(SEARCH("ProductID",INDEX(tblTrans[ProductID],297)))),"",INDEX(tblTrans[Type],297)),"")</f>
        <v/>
      </c>
      <c r="F298" t="str">
        <f>IFERROR(IF(OR(INDEX(tblTrans[ProductID],297)="",ISNUMBER(SEARCH("ProductID",INDEX(tblTrans[ProductID],297)))),"",_xlfn.XLOOKUP(B298,tblProducts[ProductID],tblProducts[ProductName],"")),"")</f>
        <v/>
      </c>
      <c r="G298" t="str">
        <f>IFERROR(IF(OR(INDEX(tblTrans[ProductID],297)="",ISNUMBER(SEARCH("ProductID",INDEX(tblTrans[ProductID],297)))),"",_xlfn.XLOOKUP(B298,tblProducts[ProductID],tblProducts[Category],"")),"")</f>
        <v/>
      </c>
      <c r="H298" t="str">
        <f>IFERROR(IF(OR(INDEX(tblTrans[ProductID],297)="",ISNUMBER(SEARCH("ProductID",INDEX(tblTrans[ProductID],297)))),"",_xlfn.XLOOKUP(B298,tblProducts[ProductID],tblProducts[Supplier],"")),"")</f>
        <v/>
      </c>
      <c r="I298" t="str">
        <f>IFERROR(IF(OR(INDEX(tblTrans[ProductID],297)="",ISNUMBER(SEARCH("ProductID",INDEX(tblTrans[ProductID],297)))),"",D298*_xlfn.XLOOKUP(B298,tblProducts[ProductID],tblProducts[UnitCost],0)),"")</f>
        <v/>
      </c>
    </row>
    <row r="299" spans="1:9" x14ac:dyDescent="0.3">
      <c r="A299" s="5" t="str">
        <f>IFERROR(IF(OR(INDEX(tblTrans[ProductID],298)="",ISNUMBER(SEARCH("ProductID",INDEX(tblTrans[ProductID],298)))),"",INDEX(tblTrans[Date],298)),"")</f>
        <v/>
      </c>
      <c r="B299" t="str">
        <f>IFERROR(IF(OR(INDEX(tblTrans[ProductID],298)="",ISNUMBER(SEARCH("ProductID",INDEX(tblTrans[ProductID],298)))),"",INDEX(tblTrans[ProductID],298)),"")</f>
        <v/>
      </c>
      <c r="C299" t="str">
        <f>IFERROR(IF(OR(INDEX(tblTrans[ProductID],298)="",ISNUMBER(SEARCH("ProductID",INDEX(tblTrans[ProductID],298)))),"",INDEX(tblTrans[Location],298)),"")</f>
        <v/>
      </c>
      <c r="D299" t="str">
        <f>IFERROR(IF(OR(INDEX(tblTrans[ProductID],298)="",ISNUMBER(SEARCH("ProductID",INDEX(tblTrans[ProductID],298)))),"",INDEX(tblTrans[Quantity],298)),"")</f>
        <v/>
      </c>
      <c r="E299" t="str">
        <f>IFERROR(IF(OR(INDEX(tblTrans[ProductID],298)="",ISNUMBER(SEARCH("ProductID",INDEX(tblTrans[ProductID],298)))),"",INDEX(tblTrans[Type],298)),"")</f>
        <v/>
      </c>
      <c r="F299" t="str">
        <f>IFERROR(IF(OR(INDEX(tblTrans[ProductID],298)="",ISNUMBER(SEARCH("ProductID",INDEX(tblTrans[ProductID],298)))),"",_xlfn.XLOOKUP(B299,tblProducts[ProductID],tblProducts[ProductName],"")),"")</f>
        <v/>
      </c>
      <c r="G299" t="str">
        <f>IFERROR(IF(OR(INDEX(tblTrans[ProductID],298)="",ISNUMBER(SEARCH("ProductID",INDEX(tblTrans[ProductID],298)))),"",_xlfn.XLOOKUP(B299,tblProducts[ProductID],tblProducts[Category],"")),"")</f>
        <v/>
      </c>
      <c r="H299" t="str">
        <f>IFERROR(IF(OR(INDEX(tblTrans[ProductID],298)="",ISNUMBER(SEARCH("ProductID",INDEX(tblTrans[ProductID],298)))),"",_xlfn.XLOOKUP(B299,tblProducts[ProductID],tblProducts[Supplier],"")),"")</f>
        <v/>
      </c>
      <c r="I299" t="str">
        <f>IFERROR(IF(OR(INDEX(tblTrans[ProductID],298)="",ISNUMBER(SEARCH("ProductID",INDEX(tblTrans[ProductID],298)))),"",D299*_xlfn.XLOOKUP(B299,tblProducts[ProductID],tblProducts[UnitCost],0)),"")</f>
        <v/>
      </c>
    </row>
    <row r="300" spans="1:9" x14ac:dyDescent="0.3">
      <c r="A300" s="5" t="str">
        <f>IFERROR(IF(OR(INDEX(tblTrans[ProductID],299)="",ISNUMBER(SEARCH("ProductID",INDEX(tblTrans[ProductID],299)))),"",INDEX(tblTrans[Date],299)),"")</f>
        <v/>
      </c>
      <c r="B300" t="str">
        <f>IFERROR(IF(OR(INDEX(tblTrans[ProductID],299)="",ISNUMBER(SEARCH("ProductID",INDEX(tblTrans[ProductID],299)))),"",INDEX(tblTrans[ProductID],299)),"")</f>
        <v/>
      </c>
      <c r="C300" t="str">
        <f>IFERROR(IF(OR(INDEX(tblTrans[ProductID],299)="",ISNUMBER(SEARCH("ProductID",INDEX(tblTrans[ProductID],299)))),"",INDEX(tblTrans[Location],299)),"")</f>
        <v/>
      </c>
      <c r="D300" t="str">
        <f>IFERROR(IF(OR(INDEX(tblTrans[ProductID],299)="",ISNUMBER(SEARCH("ProductID",INDEX(tblTrans[ProductID],299)))),"",INDEX(tblTrans[Quantity],299)),"")</f>
        <v/>
      </c>
      <c r="E300" t="str">
        <f>IFERROR(IF(OR(INDEX(tblTrans[ProductID],299)="",ISNUMBER(SEARCH("ProductID",INDEX(tblTrans[ProductID],299)))),"",INDEX(tblTrans[Type],299)),"")</f>
        <v/>
      </c>
      <c r="F300" t="str">
        <f>IFERROR(IF(OR(INDEX(tblTrans[ProductID],299)="",ISNUMBER(SEARCH("ProductID",INDEX(tblTrans[ProductID],299)))),"",_xlfn.XLOOKUP(B300,tblProducts[ProductID],tblProducts[ProductName],"")),"")</f>
        <v/>
      </c>
      <c r="G300" t="str">
        <f>IFERROR(IF(OR(INDEX(tblTrans[ProductID],299)="",ISNUMBER(SEARCH("ProductID",INDEX(tblTrans[ProductID],299)))),"",_xlfn.XLOOKUP(B300,tblProducts[ProductID],tblProducts[Category],"")),"")</f>
        <v/>
      </c>
      <c r="H300" t="str">
        <f>IFERROR(IF(OR(INDEX(tblTrans[ProductID],299)="",ISNUMBER(SEARCH("ProductID",INDEX(tblTrans[ProductID],299)))),"",_xlfn.XLOOKUP(B300,tblProducts[ProductID],tblProducts[Supplier],"")),"")</f>
        <v/>
      </c>
      <c r="I300" t="str">
        <f>IFERROR(IF(OR(INDEX(tblTrans[ProductID],299)="",ISNUMBER(SEARCH("ProductID",INDEX(tblTrans[ProductID],299)))),"",D300*_xlfn.XLOOKUP(B300,tblProducts[ProductID],tblProducts[UnitCost],0)),"")</f>
        <v/>
      </c>
    </row>
    <row r="301" spans="1:9" x14ac:dyDescent="0.3">
      <c r="A301" s="5" t="str">
        <f>IFERROR(IF(OR(INDEX(tblTrans[ProductID],300)="",ISNUMBER(SEARCH("ProductID",INDEX(tblTrans[ProductID],300)))),"",INDEX(tblTrans[Date],300)),"")</f>
        <v/>
      </c>
      <c r="B301" t="str">
        <f>IFERROR(IF(OR(INDEX(tblTrans[ProductID],300)="",ISNUMBER(SEARCH("ProductID",INDEX(tblTrans[ProductID],300)))),"",INDEX(tblTrans[ProductID],300)),"")</f>
        <v/>
      </c>
      <c r="C301" t="str">
        <f>IFERROR(IF(OR(INDEX(tblTrans[ProductID],300)="",ISNUMBER(SEARCH("ProductID",INDEX(tblTrans[ProductID],300)))),"",INDEX(tblTrans[Location],300)),"")</f>
        <v/>
      </c>
      <c r="D301" t="str">
        <f>IFERROR(IF(OR(INDEX(tblTrans[ProductID],300)="",ISNUMBER(SEARCH("ProductID",INDEX(tblTrans[ProductID],300)))),"",INDEX(tblTrans[Quantity],300)),"")</f>
        <v/>
      </c>
      <c r="E301" t="str">
        <f>IFERROR(IF(OR(INDEX(tblTrans[ProductID],300)="",ISNUMBER(SEARCH("ProductID",INDEX(tblTrans[ProductID],300)))),"",INDEX(tblTrans[Type],300)),"")</f>
        <v/>
      </c>
      <c r="F301" t="str">
        <f>IFERROR(IF(OR(INDEX(tblTrans[ProductID],300)="",ISNUMBER(SEARCH("ProductID",INDEX(tblTrans[ProductID],300)))),"",_xlfn.XLOOKUP(B301,tblProducts[ProductID],tblProducts[ProductName],"")),"")</f>
        <v/>
      </c>
      <c r="G301" t="str">
        <f>IFERROR(IF(OR(INDEX(tblTrans[ProductID],300)="",ISNUMBER(SEARCH("ProductID",INDEX(tblTrans[ProductID],300)))),"",_xlfn.XLOOKUP(B301,tblProducts[ProductID],tblProducts[Category],"")),"")</f>
        <v/>
      </c>
      <c r="H301" t="str">
        <f>IFERROR(IF(OR(INDEX(tblTrans[ProductID],300)="",ISNUMBER(SEARCH("ProductID",INDEX(tblTrans[ProductID],300)))),"",_xlfn.XLOOKUP(B301,tblProducts[ProductID],tblProducts[Supplier],"")),"")</f>
        <v/>
      </c>
      <c r="I301" t="str">
        <f>IFERROR(IF(OR(INDEX(tblTrans[ProductID],300)="",ISNUMBER(SEARCH("ProductID",INDEX(tblTrans[ProductID],300)))),"",D301*_xlfn.XLOOKUP(B301,tblProducts[ProductID],tblProducts[UnitCost],0)),"")</f>
        <v/>
      </c>
    </row>
    <row r="302" spans="1:9" x14ac:dyDescent="0.3">
      <c r="A302" s="5" t="str">
        <f>IFERROR(IF(OR(INDEX(tblTrans[ProductID],301)="",ISNUMBER(SEARCH("ProductID",INDEX(tblTrans[ProductID],301)))),"",INDEX(tblTrans[Date],301)),"")</f>
        <v/>
      </c>
      <c r="B302" t="str">
        <f>IFERROR(IF(OR(INDEX(tblTrans[ProductID],301)="",ISNUMBER(SEARCH("ProductID",INDEX(tblTrans[ProductID],301)))),"",INDEX(tblTrans[ProductID],301)),"")</f>
        <v/>
      </c>
      <c r="C302" t="str">
        <f>IFERROR(IF(OR(INDEX(tblTrans[ProductID],301)="",ISNUMBER(SEARCH("ProductID",INDEX(tblTrans[ProductID],301)))),"",INDEX(tblTrans[Location],301)),"")</f>
        <v/>
      </c>
      <c r="D302" t="str">
        <f>IFERROR(IF(OR(INDEX(tblTrans[ProductID],301)="",ISNUMBER(SEARCH("ProductID",INDEX(tblTrans[ProductID],301)))),"",INDEX(tblTrans[Quantity],301)),"")</f>
        <v/>
      </c>
      <c r="E302" t="str">
        <f>IFERROR(IF(OR(INDEX(tblTrans[ProductID],301)="",ISNUMBER(SEARCH("ProductID",INDEX(tblTrans[ProductID],301)))),"",INDEX(tblTrans[Type],301)),"")</f>
        <v/>
      </c>
      <c r="F302" t="str">
        <f>IFERROR(IF(OR(INDEX(tblTrans[ProductID],301)="",ISNUMBER(SEARCH("ProductID",INDEX(tblTrans[ProductID],301)))),"",_xlfn.XLOOKUP(B302,tblProducts[ProductID],tblProducts[ProductName],"")),"")</f>
        <v/>
      </c>
      <c r="G302" t="str">
        <f>IFERROR(IF(OR(INDEX(tblTrans[ProductID],301)="",ISNUMBER(SEARCH("ProductID",INDEX(tblTrans[ProductID],301)))),"",_xlfn.XLOOKUP(B302,tblProducts[ProductID],tblProducts[Category],"")),"")</f>
        <v/>
      </c>
      <c r="H302" t="str">
        <f>IFERROR(IF(OR(INDEX(tblTrans[ProductID],301)="",ISNUMBER(SEARCH("ProductID",INDEX(tblTrans[ProductID],301)))),"",_xlfn.XLOOKUP(B302,tblProducts[ProductID],tblProducts[Supplier],"")),"")</f>
        <v/>
      </c>
      <c r="I302" t="str">
        <f>IFERROR(IF(OR(INDEX(tblTrans[ProductID],301)="",ISNUMBER(SEARCH("ProductID",INDEX(tblTrans[ProductID],301)))),"",D302*_xlfn.XLOOKUP(B302,tblProducts[ProductID],tblProducts[UnitCost],0)),"")</f>
        <v/>
      </c>
    </row>
    <row r="303" spans="1:9" x14ac:dyDescent="0.3">
      <c r="A303" s="5" t="str">
        <f>IFERROR(IF(OR(INDEX(tblTrans[ProductID],302)="",ISNUMBER(SEARCH("ProductID",INDEX(tblTrans[ProductID],302)))),"",INDEX(tblTrans[Date],302)),"")</f>
        <v/>
      </c>
      <c r="B303" t="str">
        <f>IFERROR(IF(OR(INDEX(tblTrans[ProductID],302)="",ISNUMBER(SEARCH("ProductID",INDEX(tblTrans[ProductID],302)))),"",INDEX(tblTrans[ProductID],302)),"")</f>
        <v/>
      </c>
      <c r="C303" t="str">
        <f>IFERROR(IF(OR(INDEX(tblTrans[ProductID],302)="",ISNUMBER(SEARCH("ProductID",INDEX(tblTrans[ProductID],302)))),"",INDEX(tblTrans[Location],302)),"")</f>
        <v/>
      </c>
      <c r="D303" t="str">
        <f>IFERROR(IF(OR(INDEX(tblTrans[ProductID],302)="",ISNUMBER(SEARCH("ProductID",INDEX(tblTrans[ProductID],302)))),"",INDEX(tblTrans[Quantity],302)),"")</f>
        <v/>
      </c>
      <c r="E303" t="str">
        <f>IFERROR(IF(OR(INDEX(tblTrans[ProductID],302)="",ISNUMBER(SEARCH("ProductID",INDEX(tblTrans[ProductID],302)))),"",INDEX(tblTrans[Type],302)),"")</f>
        <v/>
      </c>
      <c r="F303" t="str">
        <f>IFERROR(IF(OR(INDEX(tblTrans[ProductID],302)="",ISNUMBER(SEARCH("ProductID",INDEX(tblTrans[ProductID],302)))),"",_xlfn.XLOOKUP(B303,tblProducts[ProductID],tblProducts[ProductName],"")),"")</f>
        <v/>
      </c>
      <c r="G303" t="str">
        <f>IFERROR(IF(OR(INDEX(tblTrans[ProductID],302)="",ISNUMBER(SEARCH("ProductID",INDEX(tblTrans[ProductID],302)))),"",_xlfn.XLOOKUP(B303,tblProducts[ProductID],tblProducts[Category],"")),"")</f>
        <v/>
      </c>
      <c r="H303" t="str">
        <f>IFERROR(IF(OR(INDEX(tblTrans[ProductID],302)="",ISNUMBER(SEARCH("ProductID",INDEX(tblTrans[ProductID],302)))),"",_xlfn.XLOOKUP(B303,tblProducts[ProductID],tblProducts[Supplier],"")),"")</f>
        <v/>
      </c>
      <c r="I303" t="str">
        <f>IFERROR(IF(OR(INDEX(tblTrans[ProductID],302)="",ISNUMBER(SEARCH("ProductID",INDEX(tblTrans[ProductID],302)))),"",D303*_xlfn.XLOOKUP(B303,tblProducts[ProductID],tblProducts[UnitCost],0)),"")</f>
        <v/>
      </c>
    </row>
    <row r="304" spans="1:9" x14ac:dyDescent="0.3">
      <c r="A304" s="5" t="str">
        <f>IFERROR(IF(OR(INDEX(tblTrans[ProductID],303)="",ISNUMBER(SEARCH("ProductID",INDEX(tblTrans[ProductID],303)))),"",INDEX(tblTrans[Date],303)),"")</f>
        <v/>
      </c>
      <c r="B304" t="str">
        <f>IFERROR(IF(OR(INDEX(tblTrans[ProductID],303)="",ISNUMBER(SEARCH("ProductID",INDEX(tblTrans[ProductID],303)))),"",INDEX(tblTrans[ProductID],303)),"")</f>
        <v/>
      </c>
      <c r="C304" t="str">
        <f>IFERROR(IF(OR(INDEX(tblTrans[ProductID],303)="",ISNUMBER(SEARCH("ProductID",INDEX(tblTrans[ProductID],303)))),"",INDEX(tblTrans[Location],303)),"")</f>
        <v/>
      </c>
      <c r="D304" t="str">
        <f>IFERROR(IF(OR(INDEX(tblTrans[ProductID],303)="",ISNUMBER(SEARCH("ProductID",INDEX(tblTrans[ProductID],303)))),"",INDEX(tblTrans[Quantity],303)),"")</f>
        <v/>
      </c>
      <c r="E304" t="str">
        <f>IFERROR(IF(OR(INDEX(tblTrans[ProductID],303)="",ISNUMBER(SEARCH("ProductID",INDEX(tblTrans[ProductID],303)))),"",INDEX(tblTrans[Type],303)),"")</f>
        <v/>
      </c>
      <c r="F304" t="str">
        <f>IFERROR(IF(OR(INDEX(tblTrans[ProductID],303)="",ISNUMBER(SEARCH("ProductID",INDEX(tblTrans[ProductID],303)))),"",_xlfn.XLOOKUP(B304,tblProducts[ProductID],tblProducts[ProductName],"")),"")</f>
        <v/>
      </c>
      <c r="G304" t="str">
        <f>IFERROR(IF(OR(INDEX(tblTrans[ProductID],303)="",ISNUMBER(SEARCH("ProductID",INDEX(tblTrans[ProductID],303)))),"",_xlfn.XLOOKUP(B304,tblProducts[ProductID],tblProducts[Category],"")),"")</f>
        <v/>
      </c>
      <c r="H304" t="str">
        <f>IFERROR(IF(OR(INDEX(tblTrans[ProductID],303)="",ISNUMBER(SEARCH("ProductID",INDEX(tblTrans[ProductID],303)))),"",_xlfn.XLOOKUP(B304,tblProducts[ProductID],tblProducts[Supplier],"")),"")</f>
        <v/>
      </c>
      <c r="I304" t="str">
        <f>IFERROR(IF(OR(INDEX(tblTrans[ProductID],303)="",ISNUMBER(SEARCH("ProductID",INDEX(tblTrans[ProductID],303)))),"",D304*_xlfn.XLOOKUP(B304,tblProducts[ProductID],tblProducts[UnitCost],0)),"")</f>
        <v/>
      </c>
    </row>
    <row r="305" spans="1:9" x14ac:dyDescent="0.3">
      <c r="A305" s="5" t="str">
        <f>IFERROR(IF(OR(INDEX(tblTrans[ProductID],304)="",ISNUMBER(SEARCH("ProductID",INDEX(tblTrans[ProductID],304)))),"",INDEX(tblTrans[Date],304)),"")</f>
        <v/>
      </c>
      <c r="B305" t="str">
        <f>IFERROR(IF(OR(INDEX(tblTrans[ProductID],304)="",ISNUMBER(SEARCH("ProductID",INDEX(tblTrans[ProductID],304)))),"",INDEX(tblTrans[ProductID],304)),"")</f>
        <v/>
      </c>
      <c r="C305" t="str">
        <f>IFERROR(IF(OR(INDEX(tblTrans[ProductID],304)="",ISNUMBER(SEARCH("ProductID",INDEX(tblTrans[ProductID],304)))),"",INDEX(tblTrans[Location],304)),"")</f>
        <v/>
      </c>
      <c r="D305" t="str">
        <f>IFERROR(IF(OR(INDEX(tblTrans[ProductID],304)="",ISNUMBER(SEARCH("ProductID",INDEX(tblTrans[ProductID],304)))),"",INDEX(tblTrans[Quantity],304)),"")</f>
        <v/>
      </c>
      <c r="E305" t="str">
        <f>IFERROR(IF(OR(INDEX(tblTrans[ProductID],304)="",ISNUMBER(SEARCH("ProductID",INDEX(tblTrans[ProductID],304)))),"",INDEX(tblTrans[Type],304)),"")</f>
        <v/>
      </c>
      <c r="F305" t="str">
        <f>IFERROR(IF(OR(INDEX(tblTrans[ProductID],304)="",ISNUMBER(SEARCH("ProductID",INDEX(tblTrans[ProductID],304)))),"",_xlfn.XLOOKUP(B305,tblProducts[ProductID],tblProducts[ProductName],"")),"")</f>
        <v/>
      </c>
      <c r="G305" t="str">
        <f>IFERROR(IF(OR(INDEX(tblTrans[ProductID],304)="",ISNUMBER(SEARCH("ProductID",INDEX(tblTrans[ProductID],304)))),"",_xlfn.XLOOKUP(B305,tblProducts[ProductID],tblProducts[Category],"")),"")</f>
        <v/>
      </c>
      <c r="H305" t="str">
        <f>IFERROR(IF(OR(INDEX(tblTrans[ProductID],304)="",ISNUMBER(SEARCH("ProductID",INDEX(tblTrans[ProductID],304)))),"",_xlfn.XLOOKUP(B305,tblProducts[ProductID],tblProducts[Supplier],"")),"")</f>
        <v/>
      </c>
      <c r="I305" t="str">
        <f>IFERROR(IF(OR(INDEX(tblTrans[ProductID],304)="",ISNUMBER(SEARCH("ProductID",INDEX(tblTrans[ProductID],304)))),"",D305*_xlfn.XLOOKUP(B305,tblProducts[ProductID],tblProducts[UnitCost],0)),"")</f>
        <v/>
      </c>
    </row>
    <row r="306" spans="1:9" x14ac:dyDescent="0.3">
      <c r="A306" s="5" t="str">
        <f>IFERROR(IF(OR(INDEX(tblTrans[ProductID],305)="",ISNUMBER(SEARCH("ProductID",INDEX(tblTrans[ProductID],305)))),"",INDEX(tblTrans[Date],305)),"")</f>
        <v/>
      </c>
      <c r="B306" t="str">
        <f>IFERROR(IF(OR(INDEX(tblTrans[ProductID],305)="",ISNUMBER(SEARCH("ProductID",INDEX(tblTrans[ProductID],305)))),"",INDEX(tblTrans[ProductID],305)),"")</f>
        <v/>
      </c>
      <c r="C306" t="str">
        <f>IFERROR(IF(OR(INDEX(tblTrans[ProductID],305)="",ISNUMBER(SEARCH("ProductID",INDEX(tblTrans[ProductID],305)))),"",INDEX(tblTrans[Location],305)),"")</f>
        <v/>
      </c>
      <c r="D306" t="str">
        <f>IFERROR(IF(OR(INDEX(tblTrans[ProductID],305)="",ISNUMBER(SEARCH("ProductID",INDEX(tblTrans[ProductID],305)))),"",INDEX(tblTrans[Quantity],305)),"")</f>
        <v/>
      </c>
      <c r="E306" t="str">
        <f>IFERROR(IF(OR(INDEX(tblTrans[ProductID],305)="",ISNUMBER(SEARCH("ProductID",INDEX(tblTrans[ProductID],305)))),"",INDEX(tblTrans[Type],305)),"")</f>
        <v/>
      </c>
      <c r="F306" t="str">
        <f>IFERROR(IF(OR(INDEX(tblTrans[ProductID],305)="",ISNUMBER(SEARCH("ProductID",INDEX(tblTrans[ProductID],305)))),"",_xlfn.XLOOKUP(B306,tblProducts[ProductID],tblProducts[ProductName],"")),"")</f>
        <v/>
      </c>
      <c r="G306" t="str">
        <f>IFERROR(IF(OR(INDEX(tblTrans[ProductID],305)="",ISNUMBER(SEARCH("ProductID",INDEX(tblTrans[ProductID],305)))),"",_xlfn.XLOOKUP(B306,tblProducts[ProductID],tblProducts[Category],"")),"")</f>
        <v/>
      </c>
      <c r="H306" t="str">
        <f>IFERROR(IF(OR(INDEX(tblTrans[ProductID],305)="",ISNUMBER(SEARCH("ProductID",INDEX(tblTrans[ProductID],305)))),"",_xlfn.XLOOKUP(B306,tblProducts[ProductID],tblProducts[Supplier],"")),"")</f>
        <v/>
      </c>
      <c r="I306" t="str">
        <f>IFERROR(IF(OR(INDEX(tblTrans[ProductID],305)="",ISNUMBER(SEARCH("ProductID",INDEX(tblTrans[ProductID],305)))),"",D306*_xlfn.XLOOKUP(B306,tblProducts[ProductID],tblProducts[UnitCost],0)),"")</f>
        <v/>
      </c>
    </row>
    <row r="307" spans="1:9" x14ac:dyDescent="0.3">
      <c r="A307" s="5" t="str">
        <f>IFERROR(IF(OR(INDEX(tblTrans[ProductID],306)="",ISNUMBER(SEARCH("ProductID",INDEX(tblTrans[ProductID],306)))),"",INDEX(tblTrans[Date],306)),"")</f>
        <v/>
      </c>
      <c r="B307" t="str">
        <f>IFERROR(IF(OR(INDEX(tblTrans[ProductID],306)="",ISNUMBER(SEARCH("ProductID",INDEX(tblTrans[ProductID],306)))),"",INDEX(tblTrans[ProductID],306)),"")</f>
        <v/>
      </c>
      <c r="C307" t="str">
        <f>IFERROR(IF(OR(INDEX(tblTrans[ProductID],306)="",ISNUMBER(SEARCH("ProductID",INDEX(tblTrans[ProductID],306)))),"",INDEX(tblTrans[Location],306)),"")</f>
        <v/>
      </c>
      <c r="D307" t="str">
        <f>IFERROR(IF(OR(INDEX(tblTrans[ProductID],306)="",ISNUMBER(SEARCH("ProductID",INDEX(tblTrans[ProductID],306)))),"",INDEX(tblTrans[Quantity],306)),"")</f>
        <v/>
      </c>
      <c r="E307" t="str">
        <f>IFERROR(IF(OR(INDEX(tblTrans[ProductID],306)="",ISNUMBER(SEARCH("ProductID",INDEX(tblTrans[ProductID],306)))),"",INDEX(tblTrans[Type],306)),"")</f>
        <v/>
      </c>
      <c r="F307" t="str">
        <f>IFERROR(IF(OR(INDEX(tblTrans[ProductID],306)="",ISNUMBER(SEARCH("ProductID",INDEX(tblTrans[ProductID],306)))),"",_xlfn.XLOOKUP(B307,tblProducts[ProductID],tblProducts[ProductName],"")),"")</f>
        <v/>
      </c>
      <c r="G307" t="str">
        <f>IFERROR(IF(OR(INDEX(tblTrans[ProductID],306)="",ISNUMBER(SEARCH("ProductID",INDEX(tblTrans[ProductID],306)))),"",_xlfn.XLOOKUP(B307,tblProducts[ProductID],tblProducts[Category],"")),"")</f>
        <v/>
      </c>
      <c r="H307" t="str">
        <f>IFERROR(IF(OR(INDEX(tblTrans[ProductID],306)="",ISNUMBER(SEARCH("ProductID",INDEX(tblTrans[ProductID],306)))),"",_xlfn.XLOOKUP(B307,tblProducts[ProductID],tblProducts[Supplier],"")),"")</f>
        <v/>
      </c>
      <c r="I307" t="str">
        <f>IFERROR(IF(OR(INDEX(tblTrans[ProductID],306)="",ISNUMBER(SEARCH("ProductID",INDEX(tblTrans[ProductID],306)))),"",D307*_xlfn.XLOOKUP(B307,tblProducts[ProductID],tblProducts[UnitCost],0)),"")</f>
        <v/>
      </c>
    </row>
    <row r="308" spans="1:9" x14ac:dyDescent="0.3">
      <c r="A308" s="5" t="str">
        <f>IFERROR(IF(OR(INDEX(tblTrans[ProductID],307)="",ISNUMBER(SEARCH("ProductID",INDEX(tblTrans[ProductID],307)))),"",INDEX(tblTrans[Date],307)),"")</f>
        <v/>
      </c>
      <c r="B308" t="str">
        <f>IFERROR(IF(OR(INDEX(tblTrans[ProductID],307)="",ISNUMBER(SEARCH("ProductID",INDEX(tblTrans[ProductID],307)))),"",INDEX(tblTrans[ProductID],307)),"")</f>
        <v/>
      </c>
      <c r="C308" t="str">
        <f>IFERROR(IF(OR(INDEX(tblTrans[ProductID],307)="",ISNUMBER(SEARCH("ProductID",INDEX(tblTrans[ProductID],307)))),"",INDEX(tblTrans[Location],307)),"")</f>
        <v/>
      </c>
      <c r="D308" t="str">
        <f>IFERROR(IF(OR(INDEX(tblTrans[ProductID],307)="",ISNUMBER(SEARCH("ProductID",INDEX(tblTrans[ProductID],307)))),"",INDEX(tblTrans[Quantity],307)),"")</f>
        <v/>
      </c>
      <c r="E308" t="str">
        <f>IFERROR(IF(OR(INDEX(tblTrans[ProductID],307)="",ISNUMBER(SEARCH("ProductID",INDEX(tblTrans[ProductID],307)))),"",INDEX(tblTrans[Type],307)),"")</f>
        <v/>
      </c>
      <c r="F308" t="str">
        <f>IFERROR(IF(OR(INDEX(tblTrans[ProductID],307)="",ISNUMBER(SEARCH("ProductID",INDEX(tblTrans[ProductID],307)))),"",_xlfn.XLOOKUP(B308,tblProducts[ProductID],tblProducts[ProductName],"")),"")</f>
        <v/>
      </c>
      <c r="G308" t="str">
        <f>IFERROR(IF(OR(INDEX(tblTrans[ProductID],307)="",ISNUMBER(SEARCH("ProductID",INDEX(tblTrans[ProductID],307)))),"",_xlfn.XLOOKUP(B308,tblProducts[ProductID],tblProducts[Category],"")),"")</f>
        <v/>
      </c>
      <c r="H308" t="str">
        <f>IFERROR(IF(OR(INDEX(tblTrans[ProductID],307)="",ISNUMBER(SEARCH("ProductID",INDEX(tblTrans[ProductID],307)))),"",_xlfn.XLOOKUP(B308,tblProducts[ProductID],tblProducts[Supplier],"")),"")</f>
        <v/>
      </c>
      <c r="I308" t="str">
        <f>IFERROR(IF(OR(INDEX(tblTrans[ProductID],307)="",ISNUMBER(SEARCH("ProductID",INDEX(tblTrans[ProductID],307)))),"",D308*_xlfn.XLOOKUP(B308,tblProducts[ProductID],tblProducts[UnitCost],0)),"")</f>
        <v/>
      </c>
    </row>
    <row r="309" spans="1:9" x14ac:dyDescent="0.3">
      <c r="A309" s="5" t="str">
        <f>IFERROR(IF(OR(INDEX(tblTrans[ProductID],308)="",ISNUMBER(SEARCH("ProductID",INDEX(tblTrans[ProductID],308)))),"",INDEX(tblTrans[Date],308)),"")</f>
        <v/>
      </c>
      <c r="B309" t="str">
        <f>IFERROR(IF(OR(INDEX(tblTrans[ProductID],308)="",ISNUMBER(SEARCH("ProductID",INDEX(tblTrans[ProductID],308)))),"",INDEX(tblTrans[ProductID],308)),"")</f>
        <v/>
      </c>
      <c r="C309" t="str">
        <f>IFERROR(IF(OR(INDEX(tblTrans[ProductID],308)="",ISNUMBER(SEARCH("ProductID",INDEX(tblTrans[ProductID],308)))),"",INDEX(tblTrans[Location],308)),"")</f>
        <v/>
      </c>
      <c r="D309" t="str">
        <f>IFERROR(IF(OR(INDEX(tblTrans[ProductID],308)="",ISNUMBER(SEARCH("ProductID",INDEX(tblTrans[ProductID],308)))),"",INDEX(tblTrans[Quantity],308)),"")</f>
        <v/>
      </c>
      <c r="E309" t="str">
        <f>IFERROR(IF(OR(INDEX(tblTrans[ProductID],308)="",ISNUMBER(SEARCH("ProductID",INDEX(tblTrans[ProductID],308)))),"",INDEX(tblTrans[Type],308)),"")</f>
        <v/>
      </c>
      <c r="F309" t="str">
        <f>IFERROR(IF(OR(INDEX(tblTrans[ProductID],308)="",ISNUMBER(SEARCH("ProductID",INDEX(tblTrans[ProductID],308)))),"",_xlfn.XLOOKUP(B309,tblProducts[ProductID],tblProducts[ProductName],"")),"")</f>
        <v/>
      </c>
      <c r="G309" t="str">
        <f>IFERROR(IF(OR(INDEX(tblTrans[ProductID],308)="",ISNUMBER(SEARCH("ProductID",INDEX(tblTrans[ProductID],308)))),"",_xlfn.XLOOKUP(B309,tblProducts[ProductID],tblProducts[Category],"")),"")</f>
        <v/>
      </c>
      <c r="H309" t="str">
        <f>IFERROR(IF(OR(INDEX(tblTrans[ProductID],308)="",ISNUMBER(SEARCH("ProductID",INDEX(tblTrans[ProductID],308)))),"",_xlfn.XLOOKUP(B309,tblProducts[ProductID],tblProducts[Supplier],"")),"")</f>
        <v/>
      </c>
      <c r="I309" t="str">
        <f>IFERROR(IF(OR(INDEX(tblTrans[ProductID],308)="",ISNUMBER(SEARCH("ProductID",INDEX(tblTrans[ProductID],308)))),"",D309*_xlfn.XLOOKUP(B309,tblProducts[ProductID],tblProducts[UnitCost],0)),"")</f>
        <v/>
      </c>
    </row>
    <row r="310" spans="1:9" x14ac:dyDescent="0.3">
      <c r="A310" s="5" t="str">
        <f>IFERROR(IF(OR(INDEX(tblTrans[ProductID],309)="",ISNUMBER(SEARCH("ProductID",INDEX(tblTrans[ProductID],309)))),"",INDEX(tblTrans[Date],309)),"")</f>
        <v/>
      </c>
      <c r="B310" t="str">
        <f>IFERROR(IF(OR(INDEX(tblTrans[ProductID],309)="",ISNUMBER(SEARCH("ProductID",INDEX(tblTrans[ProductID],309)))),"",INDEX(tblTrans[ProductID],309)),"")</f>
        <v/>
      </c>
      <c r="C310" t="str">
        <f>IFERROR(IF(OR(INDEX(tblTrans[ProductID],309)="",ISNUMBER(SEARCH("ProductID",INDEX(tblTrans[ProductID],309)))),"",INDEX(tblTrans[Location],309)),"")</f>
        <v/>
      </c>
      <c r="D310" t="str">
        <f>IFERROR(IF(OR(INDEX(tblTrans[ProductID],309)="",ISNUMBER(SEARCH("ProductID",INDEX(tblTrans[ProductID],309)))),"",INDEX(tblTrans[Quantity],309)),"")</f>
        <v/>
      </c>
      <c r="E310" t="str">
        <f>IFERROR(IF(OR(INDEX(tblTrans[ProductID],309)="",ISNUMBER(SEARCH("ProductID",INDEX(tblTrans[ProductID],309)))),"",INDEX(tblTrans[Type],309)),"")</f>
        <v/>
      </c>
      <c r="F310" t="str">
        <f>IFERROR(IF(OR(INDEX(tblTrans[ProductID],309)="",ISNUMBER(SEARCH("ProductID",INDEX(tblTrans[ProductID],309)))),"",_xlfn.XLOOKUP(B310,tblProducts[ProductID],tblProducts[ProductName],"")),"")</f>
        <v/>
      </c>
      <c r="G310" t="str">
        <f>IFERROR(IF(OR(INDEX(tblTrans[ProductID],309)="",ISNUMBER(SEARCH("ProductID",INDEX(tblTrans[ProductID],309)))),"",_xlfn.XLOOKUP(B310,tblProducts[ProductID],tblProducts[Category],"")),"")</f>
        <v/>
      </c>
      <c r="H310" t="str">
        <f>IFERROR(IF(OR(INDEX(tblTrans[ProductID],309)="",ISNUMBER(SEARCH("ProductID",INDEX(tblTrans[ProductID],309)))),"",_xlfn.XLOOKUP(B310,tblProducts[ProductID],tblProducts[Supplier],"")),"")</f>
        <v/>
      </c>
      <c r="I310" t="str">
        <f>IFERROR(IF(OR(INDEX(tblTrans[ProductID],309)="",ISNUMBER(SEARCH("ProductID",INDEX(tblTrans[ProductID],309)))),"",D310*_xlfn.XLOOKUP(B310,tblProducts[ProductID],tblProducts[UnitCost],0)),"")</f>
        <v/>
      </c>
    </row>
    <row r="311" spans="1:9" x14ac:dyDescent="0.3">
      <c r="A311" s="5" t="str">
        <f>IFERROR(IF(OR(INDEX(tblTrans[ProductID],310)="",ISNUMBER(SEARCH("ProductID",INDEX(tblTrans[ProductID],310)))),"",INDEX(tblTrans[Date],310)),"")</f>
        <v/>
      </c>
      <c r="B311" t="str">
        <f>IFERROR(IF(OR(INDEX(tblTrans[ProductID],310)="",ISNUMBER(SEARCH("ProductID",INDEX(tblTrans[ProductID],310)))),"",INDEX(tblTrans[ProductID],310)),"")</f>
        <v/>
      </c>
      <c r="C311" t="str">
        <f>IFERROR(IF(OR(INDEX(tblTrans[ProductID],310)="",ISNUMBER(SEARCH("ProductID",INDEX(tblTrans[ProductID],310)))),"",INDEX(tblTrans[Location],310)),"")</f>
        <v/>
      </c>
      <c r="D311" t="str">
        <f>IFERROR(IF(OR(INDEX(tblTrans[ProductID],310)="",ISNUMBER(SEARCH("ProductID",INDEX(tblTrans[ProductID],310)))),"",INDEX(tblTrans[Quantity],310)),"")</f>
        <v/>
      </c>
      <c r="E311" t="str">
        <f>IFERROR(IF(OR(INDEX(tblTrans[ProductID],310)="",ISNUMBER(SEARCH("ProductID",INDEX(tblTrans[ProductID],310)))),"",INDEX(tblTrans[Type],310)),"")</f>
        <v/>
      </c>
      <c r="F311" t="str">
        <f>IFERROR(IF(OR(INDEX(tblTrans[ProductID],310)="",ISNUMBER(SEARCH("ProductID",INDEX(tblTrans[ProductID],310)))),"",_xlfn.XLOOKUP(B311,tblProducts[ProductID],tblProducts[ProductName],"")),"")</f>
        <v/>
      </c>
      <c r="G311" t="str">
        <f>IFERROR(IF(OR(INDEX(tblTrans[ProductID],310)="",ISNUMBER(SEARCH("ProductID",INDEX(tblTrans[ProductID],310)))),"",_xlfn.XLOOKUP(B311,tblProducts[ProductID],tblProducts[Category],"")),"")</f>
        <v/>
      </c>
      <c r="H311" t="str">
        <f>IFERROR(IF(OR(INDEX(tblTrans[ProductID],310)="",ISNUMBER(SEARCH("ProductID",INDEX(tblTrans[ProductID],310)))),"",_xlfn.XLOOKUP(B311,tblProducts[ProductID],tblProducts[Supplier],"")),"")</f>
        <v/>
      </c>
      <c r="I311" t="str">
        <f>IFERROR(IF(OR(INDEX(tblTrans[ProductID],310)="",ISNUMBER(SEARCH("ProductID",INDEX(tblTrans[ProductID],310)))),"",D311*_xlfn.XLOOKUP(B311,tblProducts[ProductID],tblProducts[UnitCost],0)),"")</f>
        <v/>
      </c>
    </row>
    <row r="312" spans="1:9" x14ac:dyDescent="0.3">
      <c r="A312" s="5" t="str">
        <f>IFERROR(IF(OR(INDEX(tblTrans[ProductID],311)="",ISNUMBER(SEARCH("ProductID",INDEX(tblTrans[ProductID],311)))),"",INDEX(tblTrans[Date],311)),"")</f>
        <v/>
      </c>
      <c r="B312" t="str">
        <f>IFERROR(IF(OR(INDEX(tblTrans[ProductID],311)="",ISNUMBER(SEARCH("ProductID",INDEX(tblTrans[ProductID],311)))),"",INDEX(tblTrans[ProductID],311)),"")</f>
        <v/>
      </c>
      <c r="C312" t="str">
        <f>IFERROR(IF(OR(INDEX(tblTrans[ProductID],311)="",ISNUMBER(SEARCH("ProductID",INDEX(tblTrans[ProductID],311)))),"",INDEX(tblTrans[Location],311)),"")</f>
        <v/>
      </c>
      <c r="D312" t="str">
        <f>IFERROR(IF(OR(INDEX(tblTrans[ProductID],311)="",ISNUMBER(SEARCH("ProductID",INDEX(tblTrans[ProductID],311)))),"",INDEX(tblTrans[Quantity],311)),"")</f>
        <v/>
      </c>
      <c r="E312" t="str">
        <f>IFERROR(IF(OR(INDEX(tblTrans[ProductID],311)="",ISNUMBER(SEARCH("ProductID",INDEX(tblTrans[ProductID],311)))),"",INDEX(tblTrans[Type],311)),"")</f>
        <v/>
      </c>
      <c r="F312" t="str">
        <f>IFERROR(IF(OR(INDEX(tblTrans[ProductID],311)="",ISNUMBER(SEARCH("ProductID",INDEX(tblTrans[ProductID],311)))),"",_xlfn.XLOOKUP(B312,tblProducts[ProductID],tblProducts[ProductName],"")),"")</f>
        <v/>
      </c>
      <c r="G312" t="str">
        <f>IFERROR(IF(OR(INDEX(tblTrans[ProductID],311)="",ISNUMBER(SEARCH("ProductID",INDEX(tblTrans[ProductID],311)))),"",_xlfn.XLOOKUP(B312,tblProducts[ProductID],tblProducts[Category],"")),"")</f>
        <v/>
      </c>
      <c r="H312" t="str">
        <f>IFERROR(IF(OR(INDEX(tblTrans[ProductID],311)="",ISNUMBER(SEARCH("ProductID",INDEX(tblTrans[ProductID],311)))),"",_xlfn.XLOOKUP(B312,tblProducts[ProductID],tblProducts[Supplier],"")),"")</f>
        <v/>
      </c>
      <c r="I312" t="str">
        <f>IFERROR(IF(OR(INDEX(tblTrans[ProductID],311)="",ISNUMBER(SEARCH("ProductID",INDEX(tblTrans[ProductID],311)))),"",D312*_xlfn.XLOOKUP(B312,tblProducts[ProductID],tblProducts[UnitCost],0)),"")</f>
        <v/>
      </c>
    </row>
    <row r="313" spans="1:9" x14ac:dyDescent="0.3">
      <c r="A313" s="5" t="str">
        <f>IFERROR(IF(OR(INDEX(tblTrans[ProductID],312)="",ISNUMBER(SEARCH("ProductID",INDEX(tblTrans[ProductID],312)))),"",INDEX(tblTrans[Date],312)),"")</f>
        <v/>
      </c>
      <c r="B313" t="str">
        <f>IFERROR(IF(OR(INDEX(tblTrans[ProductID],312)="",ISNUMBER(SEARCH("ProductID",INDEX(tblTrans[ProductID],312)))),"",INDEX(tblTrans[ProductID],312)),"")</f>
        <v/>
      </c>
      <c r="C313" t="str">
        <f>IFERROR(IF(OR(INDEX(tblTrans[ProductID],312)="",ISNUMBER(SEARCH("ProductID",INDEX(tblTrans[ProductID],312)))),"",INDEX(tblTrans[Location],312)),"")</f>
        <v/>
      </c>
      <c r="D313" t="str">
        <f>IFERROR(IF(OR(INDEX(tblTrans[ProductID],312)="",ISNUMBER(SEARCH("ProductID",INDEX(tblTrans[ProductID],312)))),"",INDEX(tblTrans[Quantity],312)),"")</f>
        <v/>
      </c>
      <c r="E313" t="str">
        <f>IFERROR(IF(OR(INDEX(tblTrans[ProductID],312)="",ISNUMBER(SEARCH("ProductID",INDEX(tblTrans[ProductID],312)))),"",INDEX(tblTrans[Type],312)),"")</f>
        <v/>
      </c>
      <c r="F313" t="str">
        <f>IFERROR(IF(OR(INDEX(tblTrans[ProductID],312)="",ISNUMBER(SEARCH("ProductID",INDEX(tblTrans[ProductID],312)))),"",_xlfn.XLOOKUP(B313,tblProducts[ProductID],tblProducts[ProductName],"")),"")</f>
        <v/>
      </c>
      <c r="G313" t="str">
        <f>IFERROR(IF(OR(INDEX(tblTrans[ProductID],312)="",ISNUMBER(SEARCH("ProductID",INDEX(tblTrans[ProductID],312)))),"",_xlfn.XLOOKUP(B313,tblProducts[ProductID],tblProducts[Category],"")),"")</f>
        <v/>
      </c>
      <c r="H313" t="str">
        <f>IFERROR(IF(OR(INDEX(tblTrans[ProductID],312)="",ISNUMBER(SEARCH("ProductID",INDEX(tblTrans[ProductID],312)))),"",_xlfn.XLOOKUP(B313,tblProducts[ProductID],tblProducts[Supplier],"")),"")</f>
        <v/>
      </c>
      <c r="I313" t="str">
        <f>IFERROR(IF(OR(INDEX(tblTrans[ProductID],312)="",ISNUMBER(SEARCH("ProductID",INDEX(tblTrans[ProductID],312)))),"",D313*_xlfn.XLOOKUP(B313,tblProducts[ProductID],tblProducts[UnitCost],0)),"")</f>
        <v/>
      </c>
    </row>
    <row r="314" spans="1:9" x14ac:dyDescent="0.3">
      <c r="A314" s="5" t="str">
        <f>IFERROR(IF(OR(INDEX(tblTrans[ProductID],313)="",ISNUMBER(SEARCH("ProductID",INDEX(tblTrans[ProductID],313)))),"",INDEX(tblTrans[Date],313)),"")</f>
        <v/>
      </c>
      <c r="B314" t="str">
        <f>IFERROR(IF(OR(INDEX(tblTrans[ProductID],313)="",ISNUMBER(SEARCH("ProductID",INDEX(tblTrans[ProductID],313)))),"",INDEX(tblTrans[ProductID],313)),"")</f>
        <v/>
      </c>
      <c r="C314" t="str">
        <f>IFERROR(IF(OR(INDEX(tblTrans[ProductID],313)="",ISNUMBER(SEARCH("ProductID",INDEX(tblTrans[ProductID],313)))),"",INDEX(tblTrans[Location],313)),"")</f>
        <v/>
      </c>
      <c r="D314" t="str">
        <f>IFERROR(IF(OR(INDEX(tblTrans[ProductID],313)="",ISNUMBER(SEARCH("ProductID",INDEX(tblTrans[ProductID],313)))),"",INDEX(tblTrans[Quantity],313)),"")</f>
        <v/>
      </c>
      <c r="E314" t="str">
        <f>IFERROR(IF(OR(INDEX(tblTrans[ProductID],313)="",ISNUMBER(SEARCH("ProductID",INDEX(tblTrans[ProductID],313)))),"",INDEX(tblTrans[Type],313)),"")</f>
        <v/>
      </c>
      <c r="F314" t="str">
        <f>IFERROR(IF(OR(INDEX(tblTrans[ProductID],313)="",ISNUMBER(SEARCH("ProductID",INDEX(tblTrans[ProductID],313)))),"",_xlfn.XLOOKUP(B314,tblProducts[ProductID],tblProducts[ProductName],"")),"")</f>
        <v/>
      </c>
      <c r="G314" t="str">
        <f>IFERROR(IF(OR(INDEX(tblTrans[ProductID],313)="",ISNUMBER(SEARCH("ProductID",INDEX(tblTrans[ProductID],313)))),"",_xlfn.XLOOKUP(B314,tblProducts[ProductID],tblProducts[Category],"")),"")</f>
        <v/>
      </c>
      <c r="H314" t="str">
        <f>IFERROR(IF(OR(INDEX(tblTrans[ProductID],313)="",ISNUMBER(SEARCH("ProductID",INDEX(tblTrans[ProductID],313)))),"",_xlfn.XLOOKUP(B314,tblProducts[ProductID],tblProducts[Supplier],"")),"")</f>
        <v/>
      </c>
      <c r="I314" t="str">
        <f>IFERROR(IF(OR(INDEX(tblTrans[ProductID],313)="",ISNUMBER(SEARCH("ProductID",INDEX(tblTrans[ProductID],313)))),"",D314*_xlfn.XLOOKUP(B314,tblProducts[ProductID],tblProducts[UnitCost],0)),"")</f>
        <v/>
      </c>
    </row>
    <row r="315" spans="1:9" x14ac:dyDescent="0.3">
      <c r="A315" s="5" t="str">
        <f>IFERROR(IF(OR(INDEX(tblTrans[ProductID],314)="",ISNUMBER(SEARCH("ProductID",INDEX(tblTrans[ProductID],314)))),"",INDEX(tblTrans[Date],314)),"")</f>
        <v/>
      </c>
      <c r="B315" t="str">
        <f>IFERROR(IF(OR(INDEX(tblTrans[ProductID],314)="",ISNUMBER(SEARCH("ProductID",INDEX(tblTrans[ProductID],314)))),"",INDEX(tblTrans[ProductID],314)),"")</f>
        <v/>
      </c>
      <c r="C315" t="str">
        <f>IFERROR(IF(OR(INDEX(tblTrans[ProductID],314)="",ISNUMBER(SEARCH("ProductID",INDEX(tblTrans[ProductID],314)))),"",INDEX(tblTrans[Location],314)),"")</f>
        <v/>
      </c>
      <c r="D315" t="str">
        <f>IFERROR(IF(OR(INDEX(tblTrans[ProductID],314)="",ISNUMBER(SEARCH("ProductID",INDEX(tblTrans[ProductID],314)))),"",INDEX(tblTrans[Quantity],314)),"")</f>
        <v/>
      </c>
      <c r="E315" t="str">
        <f>IFERROR(IF(OR(INDEX(tblTrans[ProductID],314)="",ISNUMBER(SEARCH("ProductID",INDEX(tblTrans[ProductID],314)))),"",INDEX(tblTrans[Type],314)),"")</f>
        <v/>
      </c>
      <c r="F315" t="str">
        <f>IFERROR(IF(OR(INDEX(tblTrans[ProductID],314)="",ISNUMBER(SEARCH("ProductID",INDEX(tblTrans[ProductID],314)))),"",_xlfn.XLOOKUP(B315,tblProducts[ProductID],tblProducts[ProductName],"")),"")</f>
        <v/>
      </c>
      <c r="G315" t="str">
        <f>IFERROR(IF(OR(INDEX(tblTrans[ProductID],314)="",ISNUMBER(SEARCH("ProductID",INDEX(tblTrans[ProductID],314)))),"",_xlfn.XLOOKUP(B315,tblProducts[ProductID],tblProducts[Category],"")),"")</f>
        <v/>
      </c>
      <c r="H315" t="str">
        <f>IFERROR(IF(OR(INDEX(tblTrans[ProductID],314)="",ISNUMBER(SEARCH("ProductID",INDEX(tblTrans[ProductID],314)))),"",_xlfn.XLOOKUP(B315,tblProducts[ProductID],tblProducts[Supplier],"")),"")</f>
        <v/>
      </c>
      <c r="I315" t="str">
        <f>IFERROR(IF(OR(INDEX(tblTrans[ProductID],314)="",ISNUMBER(SEARCH("ProductID",INDEX(tblTrans[ProductID],314)))),"",D315*_xlfn.XLOOKUP(B315,tblProducts[ProductID],tblProducts[UnitCost],0)),"")</f>
        <v/>
      </c>
    </row>
    <row r="316" spans="1:9" x14ac:dyDescent="0.3">
      <c r="A316" s="5" t="str">
        <f>IFERROR(IF(OR(INDEX(tblTrans[ProductID],315)="",ISNUMBER(SEARCH("ProductID",INDEX(tblTrans[ProductID],315)))),"",INDEX(tblTrans[Date],315)),"")</f>
        <v/>
      </c>
      <c r="B316" t="str">
        <f>IFERROR(IF(OR(INDEX(tblTrans[ProductID],315)="",ISNUMBER(SEARCH("ProductID",INDEX(tblTrans[ProductID],315)))),"",INDEX(tblTrans[ProductID],315)),"")</f>
        <v/>
      </c>
      <c r="C316" t="str">
        <f>IFERROR(IF(OR(INDEX(tblTrans[ProductID],315)="",ISNUMBER(SEARCH("ProductID",INDEX(tblTrans[ProductID],315)))),"",INDEX(tblTrans[Location],315)),"")</f>
        <v/>
      </c>
      <c r="D316" t="str">
        <f>IFERROR(IF(OR(INDEX(tblTrans[ProductID],315)="",ISNUMBER(SEARCH("ProductID",INDEX(tblTrans[ProductID],315)))),"",INDEX(tblTrans[Quantity],315)),"")</f>
        <v/>
      </c>
      <c r="E316" t="str">
        <f>IFERROR(IF(OR(INDEX(tblTrans[ProductID],315)="",ISNUMBER(SEARCH("ProductID",INDEX(tblTrans[ProductID],315)))),"",INDEX(tblTrans[Type],315)),"")</f>
        <v/>
      </c>
      <c r="F316" t="str">
        <f>IFERROR(IF(OR(INDEX(tblTrans[ProductID],315)="",ISNUMBER(SEARCH("ProductID",INDEX(tblTrans[ProductID],315)))),"",_xlfn.XLOOKUP(B316,tblProducts[ProductID],tblProducts[ProductName],"")),"")</f>
        <v/>
      </c>
      <c r="G316" t="str">
        <f>IFERROR(IF(OR(INDEX(tblTrans[ProductID],315)="",ISNUMBER(SEARCH("ProductID",INDEX(tblTrans[ProductID],315)))),"",_xlfn.XLOOKUP(B316,tblProducts[ProductID],tblProducts[Category],"")),"")</f>
        <v/>
      </c>
      <c r="H316" t="str">
        <f>IFERROR(IF(OR(INDEX(tblTrans[ProductID],315)="",ISNUMBER(SEARCH("ProductID",INDEX(tblTrans[ProductID],315)))),"",_xlfn.XLOOKUP(B316,tblProducts[ProductID],tblProducts[Supplier],"")),"")</f>
        <v/>
      </c>
      <c r="I316" t="str">
        <f>IFERROR(IF(OR(INDEX(tblTrans[ProductID],315)="",ISNUMBER(SEARCH("ProductID",INDEX(tblTrans[ProductID],315)))),"",D316*_xlfn.XLOOKUP(B316,tblProducts[ProductID],tblProducts[UnitCost],0)),"")</f>
        <v/>
      </c>
    </row>
    <row r="317" spans="1:9" x14ac:dyDescent="0.3">
      <c r="A317" s="5" t="str">
        <f>IFERROR(IF(OR(INDEX(tblTrans[ProductID],316)="",ISNUMBER(SEARCH("ProductID",INDEX(tblTrans[ProductID],316)))),"",INDEX(tblTrans[Date],316)),"")</f>
        <v/>
      </c>
      <c r="B317" t="str">
        <f>IFERROR(IF(OR(INDEX(tblTrans[ProductID],316)="",ISNUMBER(SEARCH("ProductID",INDEX(tblTrans[ProductID],316)))),"",INDEX(tblTrans[ProductID],316)),"")</f>
        <v/>
      </c>
      <c r="C317" t="str">
        <f>IFERROR(IF(OR(INDEX(tblTrans[ProductID],316)="",ISNUMBER(SEARCH("ProductID",INDEX(tblTrans[ProductID],316)))),"",INDEX(tblTrans[Location],316)),"")</f>
        <v/>
      </c>
      <c r="D317" t="str">
        <f>IFERROR(IF(OR(INDEX(tblTrans[ProductID],316)="",ISNUMBER(SEARCH("ProductID",INDEX(tblTrans[ProductID],316)))),"",INDEX(tblTrans[Quantity],316)),"")</f>
        <v/>
      </c>
      <c r="E317" t="str">
        <f>IFERROR(IF(OR(INDEX(tblTrans[ProductID],316)="",ISNUMBER(SEARCH("ProductID",INDEX(tblTrans[ProductID],316)))),"",INDEX(tblTrans[Type],316)),"")</f>
        <v/>
      </c>
      <c r="F317" t="str">
        <f>IFERROR(IF(OR(INDEX(tblTrans[ProductID],316)="",ISNUMBER(SEARCH("ProductID",INDEX(tblTrans[ProductID],316)))),"",_xlfn.XLOOKUP(B317,tblProducts[ProductID],tblProducts[ProductName],"")),"")</f>
        <v/>
      </c>
      <c r="G317" t="str">
        <f>IFERROR(IF(OR(INDEX(tblTrans[ProductID],316)="",ISNUMBER(SEARCH("ProductID",INDEX(tblTrans[ProductID],316)))),"",_xlfn.XLOOKUP(B317,tblProducts[ProductID],tblProducts[Category],"")),"")</f>
        <v/>
      </c>
      <c r="H317" t="str">
        <f>IFERROR(IF(OR(INDEX(tblTrans[ProductID],316)="",ISNUMBER(SEARCH("ProductID",INDEX(tblTrans[ProductID],316)))),"",_xlfn.XLOOKUP(B317,tblProducts[ProductID],tblProducts[Supplier],"")),"")</f>
        <v/>
      </c>
      <c r="I317" t="str">
        <f>IFERROR(IF(OR(INDEX(tblTrans[ProductID],316)="",ISNUMBER(SEARCH("ProductID",INDEX(tblTrans[ProductID],316)))),"",D317*_xlfn.XLOOKUP(B317,tblProducts[ProductID],tblProducts[UnitCost],0)),"")</f>
        <v/>
      </c>
    </row>
    <row r="318" spans="1:9" x14ac:dyDescent="0.3">
      <c r="A318" s="5" t="str">
        <f>IFERROR(IF(OR(INDEX(tblTrans[ProductID],317)="",ISNUMBER(SEARCH("ProductID",INDEX(tblTrans[ProductID],317)))),"",INDEX(tblTrans[Date],317)),"")</f>
        <v/>
      </c>
      <c r="B318" t="str">
        <f>IFERROR(IF(OR(INDEX(tblTrans[ProductID],317)="",ISNUMBER(SEARCH("ProductID",INDEX(tblTrans[ProductID],317)))),"",INDEX(tblTrans[ProductID],317)),"")</f>
        <v/>
      </c>
      <c r="C318" t="str">
        <f>IFERROR(IF(OR(INDEX(tblTrans[ProductID],317)="",ISNUMBER(SEARCH("ProductID",INDEX(tblTrans[ProductID],317)))),"",INDEX(tblTrans[Location],317)),"")</f>
        <v/>
      </c>
      <c r="D318" t="str">
        <f>IFERROR(IF(OR(INDEX(tblTrans[ProductID],317)="",ISNUMBER(SEARCH("ProductID",INDEX(tblTrans[ProductID],317)))),"",INDEX(tblTrans[Quantity],317)),"")</f>
        <v/>
      </c>
      <c r="E318" t="str">
        <f>IFERROR(IF(OR(INDEX(tblTrans[ProductID],317)="",ISNUMBER(SEARCH("ProductID",INDEX(tblTrans[ProductID],317)))),"",INDEX(tblTrans[Type],317)),"")</f>
        <v/>
      </c>
      <c r="F318" t="str">
        <f>IFERROR(IF(OR(INDEX(tblTrans[ProductID],317)="",ISNUMBER(SEARCH("ProductID",INDEX(tblTrans[ProductID],317)))),"",_xlfn.XLOOKUP(B318,tblProducts[ProductID],tblProducts[ProductName],"")),"")</f>
        <v/>
      </c>
      <c r="G318" t="str">
        <f>IFERROR(IF(OR(INDEX(tblTrans[ProductID],317)="",ISNUMBER(SEARCH("ProductID",INDEX(tblTrans[ProductID],317)))),"",_xlfn.XLOOKUP(B318,tblProducts[ProductID],tblProducts[Category],"")),"")</f>
        <v/>
      </c>
      <c r="H318" t="str">
        <f>IFERROR(IF(OR(INDEX(tblTrans[ProductID],317)="",ISNUMBER(SEARCH("ProductID",INDEX(tblTrans[ProductID],317)))),"",_xlfn.XLOOKUP(B318,tblProducts[ProductID],tblProducts[Supplier],"")),"")</f>
        <v/>
      </c>
      <c r="I318" t="str">
        <f>IFERROR(IF(OR(INDEX(tblTrans[ProductID],317)="",ISNUMBER(SEARCH("ProductID",INDEX(tblTrans[ProductID],317)))),"",D318*_xlfn.XLOOKUP(B318,tblProducts[ProductID],tblProducts[UnitCost],0)),"")</f>
        <v/>
      </c>
    </row>
    <row r="319" spans="1:9" x14ac:dyDescent="0.3">
      <c r="A319" s="5" t="str">
        <f>IFERROR(IF(OR(INDEX(tblTrans[ProductID],318)="",ISNUMBER(SEARCH("ProductID",INDEX(tblTrans[ProductID],318)))),"",INDEX(tblTrans[Date],318)),"")</f>
        <v/>
      </c>
      <c r="B319" t="str">
        <f>IFERROR(IF(OR(INDEX(tblTrans[ProductID],318)="",ISNUMBER(SEARCH("ProductID",INDEX(tblTrans[ProductID],318)))),"",INDEX(tblTrans[ProductID],318)),"")</f>
        <v/>
      </c>
      <c r="C319" t="str">
        <f>IFERROR(IF(OR(INDEX(tblTrans[ProductID],318)="",ISNUMBER(SEARCH("ProductID",INDEX(tblTrans[ProductID],318)))),"",INDEX(tblTrans[Location],318)),"")</f>
        <v/>
      </c>
      <c r="D319" t="str">
        <f>IFERROR(IF(OR(INDEX(tblTrans[ProductID],318)="",ISNUMBER(SEARCH("ProductID",INDEX(tblTrans[ProductID],318)))),"",INDEX(tblTrans[Quantity],318)),"")</f>
        <v/>
      </c>
      <c r="E319" t="str">
        <f>IFERROR(IF(OR(INDEX(tblTrans[ProductID],318)="",ISNUMBER(SEARCH("ProductID",INDEX(tblTrans[ProductID],318)))),"",INDEX(tblTrans[Type],318)),"")</f>
        <v/>
      </c>
      <c r="F319" t="str">
        <f>IFERROR(IF(OR(INDEX(tblTrans[ProductID],318)="",ISNUMBER(SEARCH("ProductID",INDEX(tblTrans[ProductID],318)))),"",_xlfn.XLOOKUP(B319,tblProducts[ProductID],tblProducts[ProductName],"")),"")</f>
        <v/>
      </c>
      <c r="G319" t="str">
        <f>IFERROR(IF(OR(INDEX(tblTrans[ProductID],318)="",ISNUMBER(SEARCH("ProductID",INDEX(tblTrans[ProductID],318)))),"",_xlfn.XLOOKUP(B319,tblProducts[ProductID],tblProducts[Category],"")),"")</f>
        <v/>
      </c>
      <c r="H319" t="str">
        <f>IFERROR(IF(OR(INDEX(tblTrans[ProductID],318)="",ISNUMBER(SEARCH("ProductID",INDEX(tblTrans[ProductID],318)))),"",_xlfn.XLOOKUP(B319,tblProducts[ProductID],tblProducts[Supplier],"")),"")</f>
        <v/>
      </c>
      <c r="I319" t="str">
        <f>IFERROR(IF(OR(INDEX(tblTrans[ProductID],318)="",ISNUMBER(SEARCH("ProductID",INDEX(tblTrans[ProductID],318)))),"",D319*_xlfn.XLOOKUP(B319,tblProducts[ProductID],tblProducts[UnitCost],0)),"")</f>
        <v/>
      </c>
    </row>
    <row r="320" spans="1:9" x14ac:dyDescent="0.3">
      <c r="A320" s="5" t="str">
        <f>IFERROR(IF(OR(INDEX(tblTrans[ProductID],319)="",ISNUMBER(SEARCH("ProductID",INDEX(tblTrans[ProductID],319)))),"",INDEX(tblTrans[Date],319)),"")</f>
        <v/>
      </c>
      <c r="B320" t="str">
        <f>IFERROR(IF(OR(INDEX(tblTrans[ProductID],319)="",ISNUMBER(SEARCH("ProductID",INDEX(tblTrans[ProductID],319)))),"",INDEX(tblTrans[ProductID],319)),"")</f>
        <v/>
      </c>
      <c r="C320" t="str">
        <f>IFERROR(IF(OR(INDEX(tblTrans[ProductID],319)="",ISNUMBER(SEARCH("ProductID",INDEX(tblTrans[ProductID],319)))),"",INDEX(tblTrans[Location],319)),"")</f>
        <v/>
      </c>
      <c r="D320" t="str">
        <f>IFERROR(IF(OR(INDEX(tblTrans[ProductID],319)="",ISNUMBER(SEARCH("ProductID",INDEX(tblTrans[ProductID],319)))),"",INDEX(tblTrans[Quantity],319)),"")</f>
        <v/>
      </c>
      <c r="E320" t="str">
        <f>IFERROR(IF(OR(INDEX(tblTrans[ProductID],319)="",ISNUMBER(SEARCH("ProductID",INDEX(tblTrans[ProductID],319)))),"",INDEX(tblTrans[Type],319)),"")</f>
        <v/>
      </c>
      <c r="F320" t="str">
        <f>IFERROR(IF(OR(INDEX(tblTrans[ProductID],319)="",ISNUMBER(SEARCH("ProductID",INDEX(tblTrans[ProductID],319)))),"",_xlfn.XLOOKUP(B320,tblProducts[ProductID],tblProducts[ProductName],"")),"")</f>
        <v/>
      </c>
      <c r="G320" t="str">
        <f>IFERROR(IF(OR(INDEX(tblTrans[ProductID],319)="",ISNUMBER(SEARCH("ProductID",INDEX(tblTrans[ProductID],319)))),"",_xlfn.XLOOKUP(B320,tblProducts[ProductID],tblProducts[Category],"")),"")</f>
        <v/>
      </c>
      <c r="H320" t="str">
        <f>IFERROR(IF(OR(INDEX(tblTrans[ProductID],319)="",ISNUMBER(SEARCH("ProductID",INDEX(tblTrans[ProductID],319)))),"",_xlfn.XLOOKUP(B320,tblProducts[ProductID],tblProducts[Supplier],"")),"")</f>
        <v/>
      </c>
      <c r="I320" t="str">
        <f>IFERROR(IF(OR(INDEX(tblTrans[ProductID],319)="",ISNUMBER(SEARCH("ProductID",INDEX(tblTrans[ProductID],319)))),"",D320*_xlfn.XLOOKUP(B320,tblProducts[ProductID],tblProducts[UnitCost],0)),"")</f>
        <v/>
      </c>
    </row>
    <row r="321" spans="1:9" x14ac:dyDescent="0.3">
      <c r="A321" s="5" t="str">
        <f>IFERROR(IF(OR(INDEX(tblTrans[ProductID],320)="",ISNUMBER(SEARCH("ProductID",INDEX(tblTrans[ProductID],320)))),"",INDEX(tblTrans[Date],320)),"")</f>
        <v/>
      </c>
      <c r="B321" t="str">
        <f>IFERROR(IF(OR(INDEX(tblTrans[ProductID],320)="",ISNUMBER(SEARCH("ProductID",INDEX(tblTrans[ProductID],320)))),"",INDEX(tblTrans[ProductID],320)),"")</f>
        <v/>
      </c>
      <c r="C321" t="str">
        <f>IFERROR(IF(OR(INDEX(tblTrans[ProductID],320)="",ISNUMBER(SEARCH("ProductID",INDEX(tblTrans[ProductID],320)))),"",INDEX(tblTrans[Location],320)),"")</f>
        <v/>
      </c>
      <c r="D321" t="str">
        <f>IFERROR(IF(OR(INDEX(tblTrans[ProductID],320)="",ISNUMBER(SEARCH("ProductID",INDEX(tblTrans[ProductID],320)))),"",INDEX(tblTrans[Quantity],320)),"")</f>
        <v/>
      </c>
      <c r="E321" t="str">
        <f>IFERROR(IF(OR(INDEX(tblTrans[ProductID],320)="",ISNUMBER(SEARCH("ProductID",INDEX(tblTrans[ProductID],320)))),"",INDEX(tblTrans[Type],320)),"")</f>
        <v/>
      </c>
      <c r="F321" t="str">
        <f>IFERROR(IF(OR(INDEX(tblTrans[ProductID],320)="",ISNUMBER(SEARCH("ProductID",INDEX(tblTrans[ProductID],320)))),"",_xlfn.XLOOKUP(B321,tblProducts[ProductID],tblProducts[ProductName],"")),"")</f>
        <v/>
      </c>
      <c r="G321" t="str">
        <f>IFERROR(IF(OR(INDEX(tblTrans[ProductID],320)="",ISNUMBER(SEARCH("ProductID",INDEX(tblTrans[ProductID],320)))),"",_xlfn.XLOOKUP(B321,tblProducts[ProductID],tblProducts[Category],"")),"")</f>
        <v/>
      </c>
      <c r="H321" t="str">
        <f>IFERROR(IF(OR(INDEX(tblTrans[ProductID],320)="",ISNUMBER(SEARCH("ProductID",INDEX(tblTrans[ProductID],320)))),"",_xlfn.XLOOKUP(B321,tblProducts[ProductID],tblProducts[Supplier],"")),"")</f>
        <v/>
      </c>
      <c r="I321" t="str">
        <f>IFERROR(IF(OR(INDEX(tblTrans[ProductID],320)="",ISNUMBER(SEARCH("ProductID",INDEX(tblTrans[ProductID],320)))),"",D321*_xlfn.XLOOKUP(B321,tblProducts[ProductID],tblProducts[UnitCost],0)),"")</f>
        <v/>
      </c>
    </row>
    <row r="322" spans="1:9" x14ac:dyDescent="0.3">
      <c r="A322" s="5" t="str">
        <f>IFERROR(IF(OR(INDEX(tblTrans[ProductID],321)="",ISNUMBER(SEARCH("ProductID",INDEX(tblTrans[ProductID],321)))),"",INDEX(tblTrans[Date],321)),"")</f>
        <v/>
      </c>
      <c r="B322" t="str">
        <f>IFERROR(IF(OR(INDEX(tblTrans[ProductID],321)="",ISNUMBER(SEARCH("ProductID",INDEX(tblTrans[ProductID],321)))),"",INDEX(tblTrans[ProductID],321)),"")</f>
        <v/>
      </c>
      <c r="C322" t="str">
        <f>IFERROR(IF(OR(INDEX(tblTrans[ProductID],321)="",ISNUMBER(SEARCH("ProductID",INDEX(tblTrans[ProductID],321)))),"",INDEX(tblTrans[Location],321)),"")</f>
        <v/>
      </c>
      <c r="D322" t="str">
        <f>IFERROR(IF(OR(INDEX(tblTrans[ProductID],321)="",ISNUMBER(SEARCH("ProductID",INDEX(tblTrans[ProductID],321)))),"",INDEX(tblTrans[Quantity],321)),"")</f>
        <v/>
      </c>
      <c r="E322" t="str">
        <f>IFERROR(IF(OR(INDEX(tblTrans[ProductID],321)="",ISNUMBER(SEARCH("ProductID",INDEX(tblTrans[ProductID],321)))),"",INDEX(tblTrans[Type],321)),"")</f>
        <v/>
      </c>
      <c r="F322" t="str">
        <f>IFERROR(IF(OR(INDEX(tblTrans[ProductID],321)="",ISNUMBER(SEARCH("ProductID",INDEX(tblTrans[ProductID],321)))),"",_xlfn.XLOOKUP(B322,tblProducts[ProductID],tblProducts[ProductName],"")),"")</f>
        <v/>
      </c>
      <c r="G322" t="str">
        <f>IFERROR(IF(OR(INDEX(tblTrans[ProductID],321)="",ISNUMBER(SEARCH("ProductID",INDEX(tblTrans[ProductID],321)))),"",_xlfn.XLOOKUP(B322,tblProducts[ProductID],tblProducts[Category],"")),"")</f>
        <v/>
      </c>
      <c r="H322" t="str">
        <f>IFERROR(IF(OR(INDEX(tblTrans[ProductID],321)="",ISNUMBER(SEARCH("ProductID",INDEX(tblTrans[ProductID],321)))),"",_xlfn.XLOOKUP(B322,tblProducts[ProductID],tblProducts[Supplier],"")),"")</f>
        <v/>
      </c>
      <c r="I322" t="str">
        <f>IFERROR(IF(OR(INDEX(tblTrans[ProductID],321)="",ISNUMBER(SEARCH("ProductID",INDEX(tblTrans[ProductID],321)))),"",D322*_xlfn.XLOOKUP(B322,tblProducts[ProductID],tblProducts[UnitCost],0)),"")</f>
        <v/>
      </c>
    </row>
    <row r="323" spans="1:9" x14ac:dyDescent="0.3">
      <c r="A323" s="5" t="str">
        <f>IFERROR(IF(OR(INDEX(tblTrans[ProductID],322)="",ISNUMBER(SEARCH("ProductID",INDEX(tblTrans[ProductID],322)))),"",INDEX(tblTrans[Date],322)),"")</f>
        <v/>
      </c>
      <c r="B323" t="str">
        <f>IFERROR(IF(OR(INDEX(tblTrans[ProductID],322)="",ISNUMBER(SEARCH("ProductID",INDEX(tblTrans[ProductID],322)))),"",INDEX(tblTrans[ProductID],322)),"")</f>
        <v/>
      </c>
      <c r="C323" t="str">
        <f>IFERROR(IF(OR(INDEX(tblTrans[ProductID],322)="",ISNUMBER(SEARCH("ProductID",INDEX(tblTrans[ProductID],322)))),"",INDEX(tblTrans[Location],322)),"")</f>
        <v/>
      </c>
      <c r="D323" t="str">
        <f>IFERROR(IF(OR(INDEX(tblTrans[ProductID],322)="",ISNUMBER(SEARCH("ProductID",INDEX(tblTrans[ProductID],322)))),"",INDEX(tblTrans[Quantity],322)),"")</f>
        <v/>
      </c>
      <c r="E323" t="str">
        <f>IFERROR(IF(OR(INDEX(tblTrans[ProductID],322)="",ISNUMBER(SEARCH("ProductID",INDEX(tblTrans[ProductID],322)))),"",INDEX(tblTrans[Type],322)),"")</f>
        <v/>
      </c>
      <c r="F323" t="str">
        <f>IFERROR(IF(OR(INDEX(tblTrans[ProductID],322)="",ISNUMBER(SEARCH("ProductID",INDEX(tblTrans[ProductID],322)))),"",_xlfn.XLOOKUP(B323,tblProducts[ProductID],tblProducts[ProductName],"")),"")</f>
        <v/>
      </c>
      <c r="G323" t="str">
        <f>IFERROR(IF(OR(INDEX(tblTrans[ProductID],322)="",ISNUMBER(SEARCH("ProductID",INDEX(tblTrans[ProductID],322)))),"",_xlfn.XLOOKUP(B323,tblProducts[ProductID],tblProducts[Category],"")),"")</f>
        <v/>
      </c>
      <c r="H323" t="str">
        <f>IFERROR(IF(OR(INDEX(tblTrans[ProductID],322)="",ISNUMBER(SEARCH("ProductID",INDEX(tblTrans[ProductID],322)))),"",_xlfn.XLOOKUP(B323,tblProducts[ProductID],tblProducts[Supplier],"")),"")</f>
        <v/>
      </c>
      <c r="I323" t="str">
        <f>IFERROR(IF(OR(INDEX(tblTrans[ProductID],322)="",ISNUMBER(SEARCH("ProductID",INDEX(tblTrans[ProductID],322)))),"",D323*_xlfn.XLOOKUP(B323,tblProducts[ProductID],tblProducts[UnitCost],0)),"")</f>
        <v/>
      </c>
    </row>
    <row r="324" spans="1:9" x14ac:dyDescent="0.3">
      <c r="A324" s="5" t="str">
        <f>IFERROR(IF(OR(INDEX(tblTrans[ProductID],323)="",ISNUMBER(SEARCH("ProductID",INDEX(tblTrans[ProductID],323)))),"",INDEX(tblTrans[Date],323)),"")</f>
        <v/>
      </c>
      <c r="B324" t="str">
        <f>IFERROR(IF(OR(INDEX(tblTrans[ProductID],323)="",ISNUMBER(SEARCH("ProductID",INDEX(tblTrans[ProductID],323)))),"",INDEX(tblTrans[ProductID],323)),"")</f>
        <v/>
      </c>
      <c r="C324" t="str">
        <f>IFERROR(IF(OR(INDEX(tblTrans[ProductID],323)="",ISNUMBER(SEARCH("ProductID",INDEX(tblTrans[ProductID],323)))),"",INDEX(tblTrans[Location],323)),"")</f>
        <v/>
      </c>
      <c r="D324" t="str">
        <f>IFERROR(IF(OR(INDEX(tblTrans[ProductID],323)="",ISNUMBER(SEARCH("ProductID",INDEX(tblTrans[ProductID],323)))),"",INDEX(tblTrans[Quantity],323)),"")</f>
        <v/>
      </c>
      <c r="E324" t="str">
        <f>IFERROR(IF(OR(INDEX(tblTrans[ProductID],323)="",ISNUMBER(SEARCH("ProductID",INDEX(tblTrans[ProductID],323)))),"",INDEX(tblTrans[Type],323)),"")</f>
        <v/>
      </c>
      <c r="F324" t="str">
        <f>IFERROR(IF(OR(INDEX(tblTrans[ProductID],323)="",ISNUMBER(SEARCH("ProductID",INDEX(tblTrans[ProductID],323)))),"",_xlfn.XLOOKUP(B324,tblProducts[ProductID],tblProducts[ProductName],"")),"")</f>
        <v/>
      </c>
      <c r="G324" t="str">
        <f>IFERROR(IF(OR(INDEX(tblTrans[ProductID],323)="",ISNUMBER(SEARCH("ProductID",INDEX(tblTrans[ProductID],323)))),"",_xlfn.XLOOKUP(B324,tblProducts[ProductID],tblProducts[Category],"")),"")</f>
        <v/>
      </c>
      <c r="H324" t="str">
        <f>IFERROR(IF(OR(INDEX(tblTrans[ProductID],323)="",ISNUMBER(SEARCH("ProductID",INDEX(tblTrans[ProductID],323)))),"",_xlfn.XLOOKUP(B324,tblProducts[ProductID],tblProducts[Supplier],"")),"")</f>
        <v/>
      </c>
      <c r="I324" t="str">
        <f>IFERROR(IF(OR(INDEX(tblTrans[ProductID],323)="",ISNUMBER(SEARCH("ProductID",INDEX(tblTrans[ProductID],323)))),"",D324*_xlfn.XLOOKUP(B324,tblProducts[ProductID],tblProducts[UnitCost],0)),"")</f>
        <v/>
      </c>
    </row>
    <row r="325" spans="1:9" x14ac:dyDescent="0.3">
      <c r="A325" s="5" t="str">
        <f>IFERROR(IF(OR(INDEX(tblTrans[ProductID],324)="",ISNUMBER(SEARCH("ProductID",INDEX(tblTrans[ProductID],324)))),"",INDEX(tblTrans[Date],324)),"")</f>
        <v/>
      </c>
      <c r="B325" t="str">
        <f>IFERROR(IF(OR(INDEX(tblTrans[ProductID],324)="",ISNUMBER(SEARCH("ProductID",INDEX(tblTrans[ProductID],324)))),"",INDEX(tblTrans[ProductID],324)),"")</f>
        <v/>
      </c>
      <c r="C325" t="str">
        <f>IFERROR(IF(OR(INDEX(tblTrans[ProductID],324)="",ISNUMBER(SEARCH("ProductID",INDEX(tblTrans[ProductID],324)))),"",INDEX(tblTrans[Location],324)),"")</f>
        <v/>
      </c>
      <c r="D325" t="str">
        <f>IFERROR(IF(OR(INDEX(tblTrans[ProductID],324)="",ISNUMBER(SEARCH("ProductID",INDEX(tblTrans[ProductID],324)))),"",INDEX(tblTrans[Quantity],324)),"")</f>
        <v/>
      </c>
      <c r="E325" t="str">
        <f>IFERROR(IF(OR(INDEX(tblTrans[ProductID],324)="",ISNUMBER(SEARCH("ProductID",INDEX(tblTrans[ProductID],324)))),"",INDEX(tblTrans[Type],324)),"")</f>
        <v/>
      </c>
      <c r="F325" t="str">
        <f>IFERROR(IF(OR(INDEX(tblTrans[ProductID],324)="",ISNUMBER(SEARCH("ProductID",INDEX(tblTrans[ProductID],324)))),"",_xlfn.XLOOKUP(B325,tblProducts[ProductID],tblProducts[ProductName],"")),"")</f>
        <v/>
      </c>
      <c r="G325" t="str">
        <f>IFERROR(IF(OR(INDEX(tblTrans[ProductID],324)="",ISNUMBER(SEARCH("ProductID",INDEX(tblTrans[ProductID],324)))),"",_xlfn.XLOOKUP(B325,tblProducts[ProductID],tblProducts[Category],"")),"")</f>
        <v/>
      </c>
      <c r="H325" t="str">
        <f>IFERROR(IF(OR(INDEX(tblTrans[ProductID],324)="",ISNUMBER(SEARCH("ProductID",INDEX(tblTrans[ProductID],324)))),"",_xlfn.XLOOKUP(B325,tblProducts[ProductID],tblProducts[Supplier],"")),"")</f>
        <v/>
      </c>
      <c r="I325" t="str">
        <f>IFERROR(IF(OR(INDEX(tblTrans[ProductID],324)="",ISNUMBER(SEARCH("ProductID",INDEX(tblTrans[ProductID],324)))),"",D325*_xlfn.XLOOKUP(B325,tblProducts[ProductID],tblProducts[UnitCost],0)),"")</f>
        <v/>
      </c>
    </row>
    <row r="326" spans="1:9" x14ac:dyDescent="0.3">
      <c r="A326" s="5" t="str">
        <f>IFERROR(IF(OR(INDEX(tblTrans[ProductID],325)="",ISNUMBER(SEARCH("ProductID",INDEX(tblTrans[ProductID],325)))),"",INDEX(tblTrans[Date],325)),"")</f>
        <v/>
      </c>
      <c r="B326" t="str">
        <f>IFERROR(IF(OR(INDEX(tblTrans[ProductID],325)="",ISNUMBER(SEARCH("ProductID",INDEX(tblTrans[ProductID],325)))),"",INDEX(tblTrans[ProductID],325)),"")</f>
        <v/>
      </c>
      <c r="C326" t="str">
        <f>IFERROR(IF(OR(INDEX(tblTrans[ProductID],325)="",ISNUMBER(SEARCH("ProductID",INDEX(tblTrans[ProductID],325)))),"",INDEX(tblTrans[Location],325)),"")</f>
        <v/>
      </c>
      <c r="D326" t="str">
        <f>IFERROR(IF(OR(INDEX(tblTrans[ProductID],325)="",ISNUMBER(SEARCH("ProductID",INDEX(tblTrans[ProductID],325)))),"",INDEX(tblTrans[Quantity],325)),"")</f>
        <v/>
      </c>
      <c r="E326" t="str">
        <f>IFERROR(IF(OR(INDEX(tblTrans[ProductID],325)="",ISNUMBER(SEARCH("ProductID",INDEX(tblTrans[ProductID],325)))),"",INDEX(tblTrans[Type],325)),"")</f>
        <v/>
      </c>
      <c r="F326" t="str">
        <f>IFERROR(IF(OR(INDEX(tblTrans[ProductID],325)="",ISNUMBER(SEARCH("ProductID",INDEX(tblTrans[ProductID],325)))),"",_xlfn.XLOOKUP(B326,tblProducts[ProductID],tblProducts[ProductName],"")),"")</f>
        <v/>
      </c>
      <c r="G326" t="str">
        <f>IFERROR(IF(OR(INDEX(tblTrans[ProductID],325)="",ISNUMBER(SEARCH("ProductID",INDEX(tblTrans[ProductID],325)))),"",_xlfn.XLOOKUP(B326,tblProducts[ProductID],tblProducts[Category],"")),"")</f>
        <v/>
      </c>
      <c r="H326" t="str">
        <f>IFERROR(IF(OR(INDEX(tblTrans[ProductID],325)="",ISNUMBER(SEARCH("ProductID",INDEX(tblTrans[ProductID],325)))),"",_xlfn.XLOOKUP(B326,tblProducts[ProductID],tblProducts[Supplier],"")),"")</f>
        <v/>
      </c>
      <c r="I326" t="str">
        <f>IFERROR(IF(OR(INDEX(tblTrans[ProductID],325)="",ISNUMBER(SEARCH("ProductID",INDEX(tblTrans[ProductID],325)))),"",D326*_xlfn.XLOOKUP(B326,tblProducts[ProductID],tblProducts[UnitCost],0)),"")</f>
        <v/>
      </c>
    </row>
    <row r="327" spans="1:9" x14ac:dyDescent="0.3">
      <c r="A327" s="5" t="str">
        <f>IFERROR(IF(OR(INDEX(tblTrans[ProductID],326)="",ISNUMBER(SEARCH("ProductID",INDEX(tblTrans[ProductID],326)))),"",INDEX(tblTrans[Date],326)),"")</f>
        <v/>
      </c>
      <c r="B327" t="str">
        <f>IFERROR(IF(OR(INDEX(tblTrans[ProductID],326)="",ISNUMBER(SEARCH("ProductID",INDEX(tblTrans[ProductID],326)))),"",INDEX(tblTrans[ProductID],326)),"")</f>
        <v/>
      </c>
      <c r="C327" t="str">
        <f>IFERROR(IF(OR(INDEX(tblTrans[ProductID],326)="",ISNUMBER(SEARCH("ProductID",INDEX(tblTrans[ProductID],326)))),"",INDEX(tblTrans[Location],326)),"")</f>
        <v/>
      </c>
      <c r="D327" t="str">
        <f>IFERROR(IF(OR(INDEX(tblTrans[ProductID],326)="",ISNUMBER(SEARCH("ProductID",INDEX(tblTrans[ProductID],326)))),"",INDEX(tblTrans[Quantity],326)),"")</f>
        <v/>
      </c>
      <c r="E327" t="str">
        <f>IFERROR(IF(OR(INDEX(tblTrans[ProductID],326)="",ISNUMBER(SEARCH("ProductID",INDEX(tblTrans[ProductID],326)))),"",INDEX(tblTrans[Type],326)),"")</f>
        <v/>
      </c>
      <c r="F327" t="str">
        <f>IFERROR(IF(OR(INDEX(tblTrans[ProductID],326)="",ISNUMBER(SEARCH("ProductID",INDEX(tblTrans[ProductID],326)))),"",_xlfn.XLOOKUP(B327,tblProducts[ProductID],tblProducts[ProductName],"")),"")</f>
        <v/>
      </c>
      <c r="G327" t="str">
        <f>IFERROR(IF(OR(INDEX(tblTrans[ProductID],326)="",ISNUMBER(SEARCH("ProductID",INDEX(tblTrans[ProductID],326)))),"",_xlfn.XLOOKUP(B327,tblProducts[ProductID],tblProducts[Category],"")),"")</f>
        <v/>
      </c>
      <c r="H327" t="str">
        <f>IFERROR(IF(OR(INDEX(tblTrans[ProductID],326)="",ISNUMBER(SEARCH("ProductID",INDEX(tblTrans[ProductID],326)))),"",_xlfn.XLOOKUP(B327,tblProducts[ProductID],tblProducts[Supplier],"")),"")</f>
        <v/>
      </c>
      <c r="I327" t="str">
        <f>IFERROR(IF(OR(INDEX(tblTrans[ProductID],326)="",ISNUMBER(SEARCH("ProductID",INDEX(tblTrans[ProductID],326)))),"",D327*_xlfn.XLOOKUP(B327,tblProducts[ProductID],tblProducts[UnitCost],0)),"")</f>
        <v/>
      </c>
    </row>
    <row r="328" spans="1:9" x14ac:dyDescent="0.3">
      <c r="A328" s="5" t="str">
        <f>IFERROR(IF(OR(INDEX(tblTrans[ProductID],327)="",ISNUMBER(SEARCH("ProductID",INDEX(tblTrans[ProductID],327)))),"",INDEX(tblTrans[Date],327)),"")</f>
        <v/>
      </c>
      <c r="B328" t="str">
        <f>IFERROR(IF(OR(INDEX(tblTrans[ProductID],327)="",ISNUMBER(SEARCH("ProductID",INDEX(tblTrans[ProductID],327)))),"",INDEX(tblTrans[ProductID],327)),"")</f>
        <v/>
      </c>
      <c r="C328" t="str">
        <f>IFERROR(IF(OR(INDEX(tblTrans[ProductID],327)="",ISNUMBER(SEARCH("ProductID",INDEX(tblTrans[ProductID],327)))),"",INDEX(tblTrans[Location],327)),"")</f>
        <v/>
      </c>
      <c r="D328" t="str">
        <f>IFERROR(IF(OR(INDEX(tblTrans[ProductID],327)="",ISNUMBER(SEARCH("ProductID",INDEX(tblTrans[ProductID],327)))),"",INDEX(tblTrans[Quantity],327)),"")</f>
        <v/>
      </c>
      <c r="E328" t="str">
        <f>IFERROR(IF(OR(INDEX(tblTrans[ProductID],327)="",ISNUMBER(SEARCH("ProductID",INDEX(tblTrans[ProductID],327)))),"",INDEX(tblTrans[Type],327)),"")</f>
        <v/>
      </c>
      <c r="F328" t="str">
        <f>IFERROR(IF(OR(INDEX(tblTrans[ProductID],327)="",ISNUMBER(SEARCH("ProductID",INDEX(tblTrans[ProductID],327)))),"",_xlfn.XLOOKUP(B328,tblProducts[ProductID],tblProducts[ProductName],"")),"")</f>
        <v/>
      </c>
      <c r="G328" t="str">
        <f>IFERROR(IF(OR(INDEX(tblTrans[ProductID],327)="",ISNUMBER(SEARCH("ProductID",INDEX(tblTrans[ProductID],327)))),"",_xlfn.XLOOKUP(B328,tblProducts[ProductID],tblProducts[Category],"")),"")</f>
        <v/>
      </c>
      <c r="H328" t="str">
        <f>IFERROR(IF(OR(INDEX(tblTrans[ProductID],327)="",ISNUMBER(SEARCH("ProductID",INDEX(tblTrans[ProductID],327)))),"",_xlfn.XLOOKUP(B328,tblProducts[ProductID],tblProducts[Supplier],"")),"")</f>
        <v/>
      </c>
      <c r="I328" t="str">
        <f>IFERROR(IF(OR(INDEX(tblTrans[ProductID],327)="",ISNUMBER(SEARCH("ProductID",INDEX(tblTrans[ProductID],327)))),"",D328*_xlfn.XLOOKUP(B328,tblProducts[ProductID],tblProducts[UnitCost],0)),"")</f>
        <v/>
      </c>
    </row>
    <row r="329" spans="1:9" x14ac:dyDescent="0.3">
      <c r="A329" s="5" t="str">
        <f>IFERROR(IF(OR(INDEX(tblTrans[ProductID],328)="",ISNUMBER(SEARCH("ProductID",INDEX(tblTrans[ProductID],328)))),"",INDEX(tblTrans[Date],328)),"")</f>
        <v/>
      </c>
      <c r="B329" t="str">
        <f>IFERROR(IF(OR(INDEX(tblTrans[ProductID],328)="",ISNUMBER(SEARCH("ProductID",INDEX(tblTrans[ProductID],328)))),"",INDEX(tblTrans[ProductID],328)),"")</f>
        <v/>
      </c>
      <c r="C329" t="str">
        <f>IFERROR(IF(OR(INDEX(tblTrans[ProductID],328)="",ISNUMBER(SEARCH("ProductID",INDEX(tblTrans[ProductID],328)))),"",INDEX(tblTrans[Location],328)),"")</f>
        <v/>
      </c>
      <c r="D329" t="str">
        <f>IFERROR(IF(OR(INDEX(tblTrans[ProductID],328)="",ISNUMBER(SEARCH("ProductID",INDEX(tblTrans[ProductID],328)))),"",INDEX(tblTrans[Quantity],328)),"")</f>
        <v/>
      </c>
      <c r="E329" t="str">
        <f>IFERROR(IF(OR(INDEX(tblTrans[ProductID],328)="",ISNUMBER(SEARCH("ProductID",INDEX(tblTrans[ProductID],328)))),"",INDEX(tblTrans[Type],328)),"")</f>
        <v/>
      </c>
      <c r="F329" t="str">
        <f>IFERROR(IF(OR(INDEX(tblTrans[ProductID],328)="",ISNUMBER(SEARCH("ProductID",INDEX(tblTrans[ProductID],328)))),"",_xlfn.XLOOKUP(B329,tblProducts[ProductID],tblProducts[ProductName],"")),"")</f>
        <v/>
      </c>
      <c r="G329" t="str">
        <f>IFERROR(IF(OR(INDEX(tblTrans[ProductID],328)="",ISNUMBER(SEARCH("ProductID",INDEX(tblTrans[ProductID],328)))),"",_xlfn.XLOOKUP(B329,tblProducts[ProductID],tblProducts[Category],"")),"")</f>
        <v/>
      </c>
      <c r="H329" t="str">
        <f>IFERROR(IF(OR(INDEX(tblTrans[ProductID],328)="",ISNUMBER(SEARCH("ProductID",INDEX(tblTrans[ProductID],328)))),"",_xlfn.XLOOKUP(B329,tblProducts[ProductID],tblProducts[Supplier],"")),"")</f>
        <v/>
      </c>
      <c r="I329" t="str">
        <f>IFERROR(IF(OR(INDEX(tblTrans[ProductID],328)="",ISNUMBER(SEARCH("ProductID",INDEX(tblTrans[ProductID],328)))),"",D329*_xlfn.XLOOKUP(B329,tblProducts[ProductID],tblProducts[UnitCost],0)),"")</f>
        <v/>
      </c>
    </row>
    <row r="330" spans="1:9" x14ac:dyDescent="0.3">
      <c r="A330" s="5" t="str">
        <f>IFERROR(IF(OR(INDEX(tblTrans[ProductID],329)="",ISNUMBER(SEARCH("ProductID",INDEX(tblTrans[ProductID],329)))),"",INDEX(tblTrans[Date],329)),"")</f>
        <v/>
      </c>
      <c r="B330" t="str">
        <f>IFERROR(IF(OR(INDEX(tblTrans[ProductID],329)="",ISNUMBER(SEARCH("ProductID",INDEX(tblTrans[ProductID],329)))),"",INDEX(tblTrans[ProductID],329)),"")</f>
        <v/>
      </c>
      <c r="C330" t="str">
        <f>IFERROR(IF(OR(INDEX(tblTrans[ProductID],329)="",ISNUMBER(SEARCH("ProductID",INDEX(tblTrans[ProductID],329)))),"",INDEX(tblTrans[Location],329)),"")</f>
        <v/>
      </c>
      <c r="D330" t="str">
        <f>IFERROR(IF(OR(INDEX(tblTrans[ProductID],329)="",ISNUMBER(SEARCH("ProductID",INDEX(tblTrans[ProductID],329)))),"",INDEX(tblTrans[Quantity],329)),"")</f>
        <v/>
      </c>
      <c r="E330" t="str">
        <f>IFERROR(IF(OR(INDEX(tblTrans[ProductID],329)="",ISNUMBER(SEARCH("ProductID",INDEX(tblTrans[ProductID],329)))),"",INDEX(tblTrans[Type],329)),"")</f>
        <v/>
      </c>
      <c r="F330" t="str">
        <f>IFERROR(IF(OR(INDEX(tblTrans[ProductID],329)="",ISNUMBER(SEARCH("ProductID",INDEX(tblTrans[ProductID],329)))),"",_xlfn.XLOOKUP(B330,tblProducts[ProductID],tblProducts[ProductName],"")),"")</f>
        <v/>
      </c>
      <c r="G330" t="str">
        <f>IFERROR(IF(OR(INDEX(tblTrans[ProductID],329)="",ISNUMBER(SEARCH("ProductID",INDEX(tblTrans[ProductID],329)))),"",_xlfn.XLOOKUP(B330,tblProducts[ProductID],tblProducts[Category],"")),"")</f>
        <v/>
      </c>
      <c r="H330" t="str">
        <f>IFERROR(IF(OR(INDEX(tblTrans[ProductID],329)="",ISNUMBER(SEARCH("ProductID",INDEX(tblTrans[ProductID],329)))),"",_xlfn.XLOOKUP(B330,tblProducts[ProductID],tblProducts[Supplier],"")),"")</f>
        <v/>
      </c>
      <c r="I330" t="str">
        <f>IFERROR(IF(OR(INDEX(tblTrans[ProductID],329)="",ISNUMBER(SEARCH("ProductID",INDEX(tblTrans[ProductID],329)))),"",D330*_xlfn.XLOOKUP(B330,tblProducts[ProductID],tblProducts[UnitCost],0)),"")</f>
        <v/>
      </c>
    </row>
    <row r="331" spans="1:9" x14ac:dyDescent="0.3">
      <c r="A331" s="5" t="str">
        <f>IFERROR(IF(OR(INDEX(tblTrans[ProductID],330)="",ISNUMBER(SEARCH("ProductID",INDEX(tblTrans[ProductID],330)))),"",INDEX(tblTrans[Date],330)),"")</f>
        <v/>
      </c>
      <c r="B331" t="str">
        <f>IFERROR(IF(OR(INDEX(tblTrans[ProductID],330)="",ISNUMBER(SEARCH("ProductID",INDEX(tblTrans[ProductID],330)))),"",INDEX(tblTrans[ProductID],330)),"")</f>
        <v/>
      </c>
      <c r="C331" t="str">
        <f>IFERROR(IF(OR(INDEX(tblTrans[ProductID],330)="",ISNUMBER(SEARCH("ProductID",INDEX(tblTrans[ProductID],330)))),"",INDEX(tblTrans[Location],330)),"")</f>
        <v/>
      </c>
      <c r="D331" t="str">
        <f>IFERROR(IF(OR(INDEX(tblTrans[ProductID],330)="",ISNUMBER(SEARCH("ProductID",INDEX(tblTrans[ProductID],330)))),"",INDEX(tblTrans[Quantity],330)),"")</f>
        <v/>
      </c>
      <c r="E331" t="str">
        <f>IFERROR(IF(OR(INDEX(tblTrans[ProductID],330)="",ISNUMBER(SEARCH("ProductID",INDEX(tblTrans[ProductID],330)))),"",INDEX(tblTrans[Type],330)),"")</f>
        <v/>
      </c>
      <c r="F331" t="str">
        <f>IFERROR(IF(OR(INDEX(tblTrans[ProductID],330)="",ISNUMBER(SEARCH("ProductID",INDEX(tblTrans[ProductID],330)))),"",_xlfn.XLOOKUP(B331,tblProducts[ProductID],tblProducts[ProductName],"")),"")</f>
        <v/>
      </c>
      <c r="G331" t="str">
        <f>IFERROR(IF(OR(INDEX(tblTrans[ProductID],330)="",ISNUMBER(SEARCH("ProductID",INDEX(tblTrans[ProductID],330)))),"",_xlfn.XLOOKUP(B331,tblProducts[ProductID],tblProducts[Category],"")),"")</f>
        <v/>
      </c>
      <c r="H331" t="str">
        <f>IFERROR(IF(OR(INDEX(tblTrans[ProductID],330)="",ISNUMBER(SEARCH("ProductID",INDEX(tblTrans[ProductID],330)))),"",_xlfn.XLOOKUP(B331,tblProducts[ProductID],tblProducts[Supplier],"")),"")</f>
        <v/>
      </c>
      <c r="I331" t="str">
        <f>IFERROR(IF(OR(INDEX(tblTrans[ProductID],330)="",ISNUMBER(SEARCH("ProductID",INDEX(tblTrans[ProductID],330)))),"",D331*_xlfn.XLOOKUP(B331,tblProducts[ProductID],tblProducts[UnitCost],0)),"")</f>
        <v/>
      </c>
    </row>
    <row r="332" spans="1:9" x14ac:dyDescent="0.3">
      <c r="A332" s="5" t="str">
        <f>IFERROR(IF(OR(INDEX(tblTrans[ProductID],331)="",ISNUMBER(SEARCH("ProductID",INDEX(tblTrans[ProductID],331)))),"",INDEX(tblTrans[Date],331)),"")</f>
        <v/>
      </c>
      <c r="B332" t="str">
        <f>IFERROR(IF(OR(INDEX(tblTrans[ProductID],331)="",ISNUMBER(SEARCH("ProductID",INDEX(tblTrans[ProductID],331)))),"",INDEX(tblTrans[ProductID],331)),"")</f>
        <v/>
      </c>
      <c r="C332" t="str">
        <f>IFERROR(IF(OR(INDEX(tblTrans[ProductID],331)="",ISNUMBER(SEARCH("ProductID",INDEX(tblTrans[ProductID],331)))),"",INDEX(tblTrans[Location],331)),"")</f>
        <v/>
      </c>
      <c r="D332" t="str">
        <f>IFERROR(IF(OR(INDEX(tblTrans[ProductID],331)="",ISNUMBER(SEARCH("ProductID",INDEX(tblTrans[ProductID],331)))),"",INDEX(tblTrans[Quantity],331)),"")</f>
        <v/>
      </c>
      <c r="E332" t="str">
        <f>IFERROR(IF(OR(INDEX(tblTrans[ProductID],331)="",ISNUMBER(SEARCH("ProductID",INDEX(tblTrans[ProductID],331)))),"",INDEX(tblTrans[Type],331)),"")</f>
        <v/>
      </c>
      <c r="F332" t="str">
        <f>IFERROR(IF(OR(INDEX(tblTrans[ProductID],331)="",ISNUMBER(SEARCH("ProductID",INDEX(tblTrans[ProductID],331)))),"",_xlfn.XLOOKUP(B332,tblProducts[ProductID],tblProducts[ProductName],"")),"")</f>
        <v/>
      </c>
      <c r="G332" t="str">
        <f>IFERROR(IF(OR(INDEX(tblTrans[ProductID],331)="",ISNUMBER(SEARCH("ProductID",INDEX(tblTrans[ProductID],331)))),"",_xlfn.XLOOKUP(B332,tblProducts[ProductID],tblProducts[Category],"")),"")</f>
        <v/>
      </c>
      <c r="H332" t="str">
        <f>IFERROR(IF(OR(INDEX(tblTrans[ProductID],331)="",ISNUMBER(SEARCH("ProductID",INDEX(tblTrans[ProductID],331)))),"",_xlfn.XLOOKUP(B332,tblProducts[ProductID],tblProducts[Supplier],"")),"")</f>
        <v/>
      </c>
      <c r="I332" t="str">
        <f>IFERROR(IF(OR(INDEX(tblTrans[ProductID],331)="",ISNUMBER(SEARCH("ProductID",INDEX(tblTrans[ProductID],331)))),"",D332*_xlfn.XLOOKUP(B332,tblProducts[ProductID],tblProducts[UnitCost],0)),"")</f>
        <v/>
      </c>
    </row>
    <row r="333" spans="1:9" x14ac:dyDescent="0.3">
      <c r="A333" s="5" t="str">
        <f>IFERROR(IF(OR(INDEX(tblTrans[ProductID],332)="",ISNUMBER(SEARCH("ProductID",INDEX(tblTrans[ProductID],332)))),"",INDEX(tblTrans[Date],332)),"")</f>
        <v/>
      </c>
      <c r="B333" t="str">
        <f>IFERROR(IF(OR(INDEX(tblTrans[ProductID],332)="",ISNUMBER(SEARCH("ProductID",INDEX(tblTrans[ProductID],332)))),"",INDEX(tblTrans[ProductID],332)),"")</f>
        <v/>
      </c>
      <c r="C333" t="str">
        <f>IFERROR(IF(OR(INDEX(tblTrans[ProductID],332)="",ISNUMBER(SEARCH("ProductID",INDEX(tblTrans[ProductID],332)))),"",INDEX(tblTrans[Location],332)),"")</f>
        <v/>
      </c>
      <c r="D333" t="str">
        <f>IFERROR(IF(OR(INDEX(tblTrans[ProductID],332)="",ISNUMBER(SEARCH("ProductID",INDEX(tblTrans[ProductID],332)))),"",INDEX(tblTrans[Quantity],332)),"")</f>
        <v/>
      </c>
      <c r="E333" t="str">
        <f>IFERROR(IF(OR(INDEX(tblTrans[ProductID],332)="",ISNUMBER(SEARCH("ProductID",INDEX(tblTrans[ProductID],332)))),"",INDEX(tblTrans[Type],332)),"")</f>
        <v/>
      </c>
      <c r="F333" t="str">
        <f>IFERROR(IF(OR(INDEX(tblTrans[ProductID],332)="",ISNUMBER(SEARCH("ProductID",INDEX(tblTrans[ProductID],332)))),"",_xlfn.XLOOKUP(B333,tblProducts[ProductID],tblProducts[ProductName],"")),"")</f>
        <v/>
      </c>
      <c r="G333" t="str">
        <f>IFERROR(IF(OR(INDEX(tblTrans[ProductID],332)="",ISNUMBER(SEARCH("ProductID",INDEX(tblTrans[ProductID],332)))),"",_xlfn.XLOOKUP(B333,tblProducts[ProductID],tblProducts[Category],"")),"")</f>
        <v/>
      </c>
      <c r="H333" t="str">
        <f>IFERROR(IF(OR(INDEX(tblTrans[ProductID],332)="",ISNUMBER(SEARCH("ProductID",INDEX(tblTrans[ProductID],332)))),"",_xlfn.XLOOKUP(B333,tblProducts[ProductID],tblProducts[Supplier],"")),"")</f>
        <v/>
      </c>
      <c r="I333" t="str">
        <f>IFERROR(IF(OR(INDEX(tblTrans[ProductID],332)="",ISNUMBER(SEARCH("ProductID",INDEX(tblTrans[ProductID],332)))),"",D333*_xlfn.XLOOKUP(B333,tblProducts[ProductID],tblProducts[UnitCost],0)),"")</f>
        <v/>
      </c>
    </row>
    <row r="334" spans="1:9" x14ac:dyDescent="0.3">
      <c r="A334" s="5" t="str">
        <f>IFERROR(IF(OR(INDEX(tblTrans[ProductID],333)="",ISNUMBER(SEARCH("ProductID",INDEX(tblTrans[ProductID],333)))),"",INDEX(tblTrans[Date],333)),"")</f>
        <v/>
      </c>
      <c r="B334" t="str">
        <f>IFERROR(IF(OR(INDEX(tblTrans[ProductID],333)="",ISNUMBER(SEARCH("ProductID",INDEX(tblTrans[ProductID],333)))),"",INDEX(tblTrans[ProductID],333)),"")</f>
        <v/>
      </c>
      <c r="C334" t="str">
        <f>IFERROR(IF(OR(INDEX(tblTrans[ProductID],333)="",ISNUMBER(SEARCH("ProductID",INDEX(tblTrans[ProductID],333)))),"",INDEX(tblTrans[Location],333)),"")</f>
        <v/>
      </c>
      <c r="D334" t="str">
        <f>IFERROR(IF(OR(INDEX(tblTrans[ProductID],333)="",ISNUMBER(SEARCH("ProductID",INDEX(tblTrans[ProductID],333)))),"",INDEX(tblTrans[Quantity],333)),"")</f>
        <v/>
      </c>
      <c r="E334" t="str">
        <f>IFERROR(IF(OR(INDEX(tblTrans[ProductID],333)="",ISNUMBER(SEARCH("ProductID",INDEX(tblTrans[ProductID],333)))),"",INDEX(tblTrans[Type],333)),"")</f>
        <v/>
      </c>
      <c r="F334" t="str">
        <f>IFERROR(IF(OR(INDEX(tblTrans[ProductID],333)="",ISNUMBER(SEARCH("ProductID",INDEX(tblTrans[ProductID],333)))),"",_xlfn.XLOOKUP(B334,tblProducts[ProductID],tblProducts[ProductName],"")),"")</f>
        <v/>
      </c>
      <c r="G334" t="str">
        <f>IFERROR(IF(OR(INDEX(tblTrans[ProductID],333)="",ISNUMBER(SEARCH("ProductID",INDEX(tblTrans[ProductID],333)))),"",_xlfn.XLOOKUP(B334,tblProducts[ProductID],tblProducts[Category],"")),"")</f>
        <v/>
      </c>
      <c r="H334" t="str">
        <f>IFERROR(IF(OR(INDEX(tblTrans[ProductID],333)="",ISNUMBER(SEARCH("ProductID",INDEX(tblTrans[ProductID],333)))),"",_xlfn.XLOOKUP(B334,tblProducts[ProductID],tblProducts[Supplier],"")),"")</f>
        <v/>
      </c>
      <c r="I334" t="str">
        <f>IFERROR(IF(OR(INDEX(tblTrans[ProductID],333)="",ISNUMBER(SEARCH("ProductID",INDEX(tblTrans[ProductID],333)))),"",D334*_xlfn.XLOOKUP(B334,tblProducts[ProductID],tblProducts[UnitCost],0)),"")</f>
        <v/>
      </c>
    </row>
    <row r="335" spans="1:9" x14ac:dyDescent="0.3">
      <c r="A335" s="5" t="str">
        <f>IFERROR(IF(OR(INDEX(tblTrans[ProductID],334)="",ISNUMBER(SEARCH("ProductID",INDEX(tblTrans[ProductID],334)))),"",INDEX(tblTrans[Date],334)),"")</f>
        <v/>
      </c>
      <c r="B335" t="str">
        <f>IFERROR(IF(OR(INDEX(tblTrans[ProductID],334)="",ISNUMBER(SEARCH("ProductID",INDEX(tblTrans[ProductID],334)))),"",INDEX(tblTrans[ProductID],334)),"")</f>
        <v/>
      </c>
      <c r="C335" t="str">
        <f>IFERROR(IF(OR(INDEX(tblTrans[ProductID],334)="",ISNUMBER(SEARCH("ProductID",INDEX(tblTrans[ProductID],334)))),"",INDEX(tblTrans[Location],334)),"")</f>
        <v/>
      </c>
      <c r="D335" t="str">
        <f>IFERROR(IF(OR(INDEX(tblTrans[ProductID],334)="",ISNUMBER(SEARCH("ProductID",INDEX(tblTrans[ProductID],334)))),"",INDEX(tblTrans[Quantity],334)),"")</f>
        <v/>
      </c>
      <c r="E335" t="str">
        <f>IFERROR(IF(OR(INDEX(tblTrans[ProductID],334)="",ISNUMBER(SEARCH("ProductID",INDEX(tblTrans[ProductID],334)))),"",INDEX(tblTrans[Type],334)),"")</f>
        <v/>
      </c>
      <c r="F335" t="str">
        <f>IFERROR(IF(OR(INDEX(tblTrans[ProductID],334)="",ISNUMBER(SEARCH("ProductID",INDEX(tblTrans[ProductID],334)))),"",_xlfn.XLOOKUP(B335,tblProducts[ProductID],tblProducts[ProductName],"")),"")</f>
        <v/>
      </c>
      <c r="G335" t="str">
        <f>IFERROR(IF(OR(INDEX(tblTrans[ProductID],334)="",ISNUMBER(SEARCH("ProductID",INDEX(tblTrans[ProductID],334)))),"",_xlfn.XLOOKUP(B335,tblProducts[ProductID],tblProducts[Category],"")),"")</f>
        <v/>
      </c>
      <c r="H335" t="str">
        <f>IFERROR(IF(OR(INDEX(tblTrans[ProductID],334)="",ISNUMBER(SEARCH("ProductID",INDEX(tblTrans[ProductID],334)))),"",_xlfn.XLOOKUP(B335,tblProducts[ProductID],tblProducts[Supplier],"")),"")</f>
        <v/>
      </c>
      <c r="I335" t="str">
        <f>IFERROR(IF(OR(INDEX(tblTrans[ProductID],334)="",ISNUMBER(SEARCH("ProductID",INDEX(tblTrans[ProductID],334)))),"",D335*_xlfn.XLOOKUP(B335,tblProducts[ProductID],tblProducts[UnitCost],0)),"")</f>
        <v/>
      </c>
    </row>
    <row r="336" spans="1:9" x14ac:dyDescent="0.3">
      <c r="A336" s="5" t="str">
        <f>IFERROR(IF(OR(INDEX(tblTrans[ProductID],335)="",ISNUMBER(SEARCH("ProductID",INDEX(tblTrans[ProductID],335)))),"",INDEX(tblTrans[Date],335)),"")</f>
        <v/>
      </c>
      <c r="B336" t="str">
        <f>IFERROR(IF(OR(INDEX(tblTrans[ProductID],335)="",ISNUMBER(SEARCH("ProductID",INDEX(tblTrans[ProductID],335)))),"",INDEX(tblTrans[ProductID],335)),"")</f>
        <v/>
      </c>
      <c r="C336" t="str">
        <f>IFERROR(IF(OR(INDEX(tblTrans[ProductID],335)="",ISNUMBER(SEARCH("ProductID",INDEX(tblTrans[ProductID],335)))),"",INDEX(tblTrans[Location],335)),"")</f>
        <v/>
      </c>
      <c r="D336" t="str">
        <f>IFERROR(IF(OR(INDEX(tblTrans[ProductID],335)="",ISNUMBER(SEARCH("ProductID",INDEX(tblTrans[ProductID],335)))),"",INDEX(tblTrans[Quantity],335)),"")</f>
        <v/>
      </c>
      <c r="E336" t="str">
        <f>IFERROR(IF(OR(INDEX(tblTrans[ProductID],335)="",ISNUMBER(SEARCH("ProductID",INDEX(tblTrans[ProductID],335)))),"",INDEX(tblTrans[Type],335)),"")</f>
        <v/>
      </c>
      <c r="F336" t="str">
        <f>IFERROR(IF(OR(INDEX(tblTrans[ProductID],335)="",ISNUMBER(SEARCH("ProductID",INDEX(tblTrans[ProductID],335)))),"",_xlfn.XLOOKUP(B336,tblProducts[ProductID],tblProducts[ProductName],"")),"")</f>
        <v/>
      </c>
      <c r="G336" t="str">
        <f>IFERROR(IF(OR(INDEX(tblTrans[ProductID],335)="",ISNUMBER(SEARCH("ProductID",INDEX(tblTrans[ProductID],335)))),"",_xlfn.XLOOKUP(B336,tblProducts[ProductID],tblProducts[Category],"")),"")</f>
        <v/>
      </c>
      <c r="H336" t="str">
        <f>IFERROR(IF(OR(INDEX(tblTrans[ProductID],335)="",ISNUMBER(SEARCH("ProductID",INDEX(tblTrans[ProductID],335)))),"",_xlfn.XLOOKUP(B336,tblProducts[ProductID],tblProducts[Supplier],"")),"")</f>
        <v/>
      </c>
      <c r="I336" t="str">
        <f>IFERROR(IF(OR(INDEX(tblTrans[ProductID],335)="",ISNUMBER(SEARCH("ProductID",INDEX(tblTrans[ProductID],335)))),"",D336*_xlfn.XLOOKUP(B336,tblProducts[ProductID],tblProducts[UnitCost],0)),"")</f>
        <v/>
      </c>
    </row>
    <row r="337" spans="1:9" x14ac:dyDescent="0.3">
      <c r="A337" s="5" t="str">
        <f>IFERROR(IF(OR(INDEX(tblTrans[ProductID],336)="",ISNUMBER(SEARCH("ProductID",INDEX(tblTrans[ProductID],336)))),"",INDEX(tblTrans[Date],336)),"")</f>
        <v/>
      </c>
      <c r="B337" t="str">
        <f>IFERROR(IF(OR(INDEX(tblTrans[ProductID],336)="",ISNUMBER(SEARCH("ProductID",INDEX(tblTrans[ProductID],336)))),"",INDEX(tblTrans[ProductID],336)),"")</f>
        <v/>
      </c>
      <c r="C337" t="str">
        <f>IFERROR(IF(OR(INDEX(tblTrans[ProductID],336)="",ISNUMBER(SEARCH("ProductID",INDEX(tblTrans[ProductID],336)))),"",INDEX(tblTrans[Location],336)),"")</f>
        <v/>
      </c>
      <c r="D337" t="str">
        <f>IFERROR(IF(OR(INDEX(tblTrans[ProductID],336)="",ISNUMBER(SEARCH("ProductID",INDEX(tblTrans[ProductID],336)))),"",INDEX(tblTrans[Quantity],336)),"")</f>
        <v/>
      </c>
      <c r="E337" t="str">
        <f>IFERROR(IF(OR(INDEX(tblTrans[ProductID],336)="",ISNUMBER(SEARCH("ProductID",INDEX(tblTrans[ProductID],336)))),"",INDEX(tblTrans[Type],336)),"")</f>
        <v/>
      </c>
      <c r="F337" t="str">
        <f>IFERROR(IF(OR(INDEX(tblTrans[ProductID],336)="",ISNUMBER(SEARCH("ProductID",INDEX(tblTrans[ProductID],336)))),"",_xlfn.XLOOKUP(B337,tblProducts[ProductID],tblProducts[ProductName],"")),"")</f>
        <v/>
      </c>
      <c r="G337" t="str">
        <f>IFERROR(IF(OR(INDEX(tblTrans[ProductID],336)="",ISNUMBER(SEARCH("ProductID",INDEX(tblTrans[ProductID],336)))),"",_xlfn.XLOOKUP(B337,tblProducts[ProductID],tblProducts[Category],"")),"")</f>
        <v/>
      </c>
      <c r="H337" t="str">
        <f>IFERROR(IF(OR(INDEX(tblTrans[ProductID],336)="",ISNUMBER(SEARCH("ProductID",INDEX(tblTrans[ProductID],336)))),"",_xlfn.XLOOKUP(B337,tblProducts[ProductID],tblProducts[Supplier],"")),"")</f>
        <v/>
      </c>
      <c r="I337" t="str">
        <f>IFERROR(IF(OR(INDEX(tblTrans[ProductID],336)="",ISNUMBER(SEARCH("ProductID",INDEX(tblTrans[ProductID],336)))),"",D337*_xlfn.XLOOKUP(B337,tblProducts[ProductID],tblProducts[UnitCost],0)),"")</f>
        <v/>
      </c>
    </row>
    <row r="338" spans="1:9" x14ac:dyDescent="0.3">
      <c r="A338" s="5" t="str">
        <f>IFERROR(IF(OR(INDEX(tblTrans[ProductID],337)="",ISNUMBER(SEARCH("ProductID",INDEX(tblTrans[ProductID],337)))),"",INDEX(tblTrans[Date],337)),"")</f>
        <v/>
      </c>
      <c r="B338" t="str">
        <f>IFERROR(IF(OR(INDEX(tblTrans[ProductID],337)="",ISNUMBER(SEARCH("ProductID",INDEX(tblTrans[ProductID],337)))),"",INDEX(tblTrans[ProductID],337)),"")</f>
        <v/>
      </c>
      <c r="C338" t="str">
        <f>IFERROR(IF(OR(INDEX(tblTrans[ProductID],337)="",ISNUMBER(SEARCH("ProductID",INDEX(tblTrans[ProductID],337)))),"",INDEX(tblTrans[Location],337)),"")</f>
        <v/>
      </c>
      <c r="D338" t="str">
        <f>IFERROR(IF(OR(INDEX(tblTrans[ProductID],337)="",ISNUMBER(SEARCH("ProductID",INDEX(tblTrans[ProductID],337)))),"",INDEX(tblTrans[Quantity],337)),"")</f>
        <v/>
      </c>
      <c r="E338" t="str">
        <f>IFERROR(IF(OR(INDEX(tblTrans[ProductID],337)="",ISNUMBER(SEARCH("ProductID",INDEX(tblTrans[ProductID],337)))),"",INDEX(tblTrans[Type],337)),"")</f>
        <v/>
      </c>
      <c r="F338" t="str">
        <f>IFERROR(IF(OR(INDEX(tblTrans[ProductID],337)="",ISNUMBER(SEARCH("ProductID",INDEX(tblTrans[ProductID],337)))),"",_xlfn.XLOOKUP(B338,tblProducts[ProductID],tblProducts[ProductName],"")),"")</f>
        <v/>
      </c>
      <c r="G338" t="str">
        <f>IFERROR(IF(OR(INDEX(tblTrans[ProductID],337)="",ISNUMBER(SEARCH("ProductID",INDEX(tblTrans[ProductID],337)))),"",_xlfn.XLOOKUP(B338,tblProducts[ProductID],tblProducts[Category],"")),"")</f>
        <v/>
      </c>
      <c r="H338" t="str">
        <f>IFERROR(IF(OR(INDEX(tblTrans[ProductID],337)="",ISNUMBER(SEARCH("ProductID",INDEX(tblTrans[ProductID],337)))),"",_xlfn.XLOOKUP(B338,tblProducts[ProductID],tblProducts[Supplier],"")),"")</f>
        <v/>
      </c>
      <c r="I338" t="str">
        <f>IFERROR(IF(OR(INDEX(tblTrans[ProductID],337)="",ISNUMBER(SEARCH("ProductID",INDEX(tblTrans[ProductID],337)))),"",D338*_xlfn.XLOOKUP(B338,tblProducts[ProductID],tblProducts[UnitCost],0)),"")</f>
        <v/>
      </c>
    </row>
    <row r="339" spans="1:9" x14ac:dyDescent="0.3">
      <c r="A339" s="5" t="str">
        <f>IFERROR(IF(OR(INDEX(tblTrans[ProductID],338)="",ISNUMBER(SEARCH("ProductID",INDEX(tblTrans[ProductID],338)))),"",INDEX(tblTrans[Date],338)),"")</f>
        <v/>
      </c>
      <c r="B339" t="str">
        <f>IFERROR(IF(OR(INDEX(tblTrans[ProductID],338)="",ISNUMBER(SEARCH("ProductID",INDEX(tblTrans[ProductID],338)))),"",INDEX(tblTrans[ProductID],338)),"")</f>
        <v/>
      </c>
      <c r="C339" t="str">
        <f>IFERROR(IF(OR(INDEX(tblTrans[ProductID],338)="",ISNUMBER(SEARCH("ProductID",INDEX(tblTrans[ProductID],338)))),"",INDEX(tblTrans[Location],338)),"")</f>
        <v/>
      </c>
      <c r="D339" t="str">
        <f>IFERROR(IF(OR(INDEX(tblTrans[ProductID],338)="",ISNUMBER(SEARCH("ProductID",INDEX(tblTrans[ProductID],338)))),"",INDEX(tblTrans[Quantity],338)),"")</f>
        <v/>
      </c>
      <c r="E339" t="str">
        <f>IFERROR(IF(OR(INDEX(tblTrans[ProductID],338)="",ISNUMBER(SEARCH("ProductID",INDEX(tblTrans[ProductID],338)))),"",INDEX(tblTrans[Type],338)),"")</f>
        <v/>
      </c>
      <c r="F339" t="str">
        <f>IFERROR(IF(OR(INDEX(tblTrans[ProductID],338)="",ISNUMBER(SEARCH("ProductID",INDEX(tblTrans[ProductID],338)))),"",_xlfn.XLOOKUP(B339,tblProducts[ProductID],tblProducts[ProductName],"")),"")</f>
        <v/>
      </c>
      <c r="G339" t="str">
        <f>IFERROR(IF(OR(INDEX(tblTrans[ProductID],338)="",ISNUMBER(SEARCH("ProductID",INDEX(tblTrans[ProductID],338)))),"",_xlfn.XLOOKUP(B339,tblProducts[ProductID],tblProducts[Category],"")),"")</f>
        <v/>
      </c>
      <c r="H339" t="str">
        <f>IFERROR(IF(OR(INDEX(tblTrans[ProductID],338)="",ISNUMBER(SEARCH("ProductID",INDEX(tblTrans[ProductID],338)))),"",_xlfn.XLOOKUP(B339,tblProducts[ProductID],tblProducts[Supplier],"")),"")</f>
        <v/>
      </c>
      <c r="I339" t="str">
        <f>IFERROR(IF(OR(INDEX(tblTrans[ProductID],338)="",ISNUMBER(SEARCH("ProductID",INDEX(tblTrans[ProductID],338)))),"",D339*_xlfn.XLOOKUP(B339,tblProducts[ProductID],tblProducts[UnitCost],0)),"")</f>
        <v/>
      </c>
    </row>
    <row r="340" spans="1:9" x14ac:dyDescent="0.3">
      <c r="A340" s="5" t="str">
        <f>IFERROR(IF(OR(INDEX(tblTrans[ProductID],339)="",ISNUMBER(SEARCH("ProductID",INDEX(tblTrans[ProductID],339)))),"",INDEX(tblTrans[Date],339)),"")</f>
        <v/>
      </c>
      <c r="B340" t="str">
        <f>IFERROR(IF(OR(INDEX(tblTrans[ProductID],339)="",ISNUMBER(SEARCH("ProductID",INDEX(tblTrans[ProductID],339)))),"",INDEX(tblTrans[ProductID],339)),"")</f>
        <v/>
      </c>
      <c r="C340" t="str">
        <f>IFERROR(IF(OR(INDEX(tblTrans[ProductID],339)="",ISNUMBER(SEARCH("ProductID",INDEX(tblTrans[ProductID],339)))),"",INDEX(tblTrans[Location],339)),"")</f>
        <v/>
      </c>
      <c r="D340" t="str">
        <f>IFERROR(IF(OR(INDEX(tblTrans[ProductID],339)="",ISNUMBER(SEARCH("ProductID",INDEX(tblTrans[ProductID],339)))),"",INDEX(tblTrans[Quantity],339)),"")</f>
        <v/>
      </c>
      <c r="E340" t="str">
        <f>IFERROR(IF(OR(INDEX(tblTrans[ProductID],339)="",ISNUMBER(SEARCH("ProductID",INDEX(tblTrans[ProductID],339)))),"",INDEX(tblTrans[Type],339)),"")</f>
        <v/>
      </c>
      <c r="F340" t="str">
        <f>IFERROR(IF(OR(INDEX(tblTrans[ProductID],339)="",ISNUMBER(SEARCH("ProductID",INDEX(tblTrans[ProductID],339)))),"",_xlfn.XLOOKUP(B340,tblProducts[ProductID],tblProducts[ProductName],"")),"")</f>
        <v/>
      </c>
      <c r="G340" t="str">
        <f>IFERROR(IF(OR(INDEX(tblTrans[ProductID],339)="",ISNUMBER(SEARCH("ProductID",INDEX(tblTrans[ProductID],339)))),"",_xlfn.XLOOKUP(B340,tblProducts[ProductID],tblProducts[Category],"")),"")</f>
        <v/>
      </c>
      <c r="H340" t="str">
        <f>IFERROR(IF(OR(INDEX(tblTrans[ProductID],339)="",ISNUMBER(SEARCH("ProductID",INDEX(tblTrans[ProductID],339)))),"",_xlfn.XLOOKUP(B340,tblProducts[ProductID],tblProducts[Supplier],"")),"")</f>
        <v/>
      </c>
      <c r="I340" t="str">
        <f>IFERROR(IF(OR(INDEX(tblTrans[ProductID],339)="",ISNUMBER(SEARCH("ProductID",INDEX(tblTrans[ProductID],339)))),"",D340*_xlfn.XLOOKUP(B340,tblProducts[ProductID],tblProducts[UnitCost],0)),"")</f>
        <v/>
      </c>
    </row>
    <row r="341" spans="1:9" x14ac:dyDescent="0.3">
      <c r="A341" s="5" t="str">
        <f>IFERROR(IF(OR(INDEX(tblTrans[ProductID],340)="",ISNUMBER(SEARCH("ProductID",INDEX(tblTrans[ProductID],340)))),"",INDEX(tblTrans[Date],340)),"")</f>
        <v/>
      </c>
      <c r="B341" t="str">
        <f>IFERROR(IF(OR(INDEX(tblTrans[ProductID],340)="",ISNUMBER(SEARCH("ProductID",INDEX(tblTrans[ProductID],340)))),"",INDEX(tblTrans[ProductID],340)),"")</f>
        <v/>
      </c>
      <c r="C341" t="str">
        <f>IFERROR(IF(OR(INDEX(tblTrans[ProductID],340)="",ISNUMBER(SEARCH("ProductID",INDEX(tblTrans[ProductID],340)))),"",INDEX(tblTrans[Location],340)),"")</f>
        <v/>
      </c>
      <c r="D341" t="str">
        <f>IFERROR(IF(OR(INDEX(tblTrans[ProductID],340)="",ISNUMBER(SEARCH("ProductID",INDEX(tblTrans[ProductID],340)))),"",INDEX(tblTrans[Quantity],340)),"")</f>
        <v/>
      </c>
      <c r="E341" t="str">
        <f>IFERROR(IF(OR(INDEX(tblTrans[ProductID],340)="",ISNUMBER(SEARCH("ProductID",INDEX(tblTrans[ProductID],340)))),"",INDEX(tblTrans[Type],340)),"")</f>
        <v/>
      </c>
      <c r="F341" t="str">
        <f>IFERROR(IF(OR(INDEX(tblTrans[ProductID],340)="",ISNUMBER(SEARCH("ProductID",INDEX(tblTrans[ProductID],340)))),"",_xlfn.XLOOKUP(B341,tblProducts[ProductID],tblProducts[ProductName],"")),"")</f>
        <v/>
      </c>
      <c r="G341" t="str">
        <f>IFERROR(IF(OR(INDEX(tblTrans[ProductID],340)="",ISNUMBER(SEARCH("ProductID",INDEX(tblTrans[ProductID],340)))),"",_xlfn.XLOOKUP(B341,tblProducts[ProductID],tblProducts[Category],"")),"")</f>
        <v/>
      </c>
      <c r="H341" t="str">
        <f>IFERROR(IF(OR(INDEX(tblTrans[ProductID],340)="",ISNUMBER(SEARCH("ProductID",INDEX(tblTrans[ProductID],340)))),"",_xlfn.XLOOKUP(B341,tblProducts[ProductID],tblProducts[Supplier],"")),"")</f>
        <v/>
      </c>
      <c r="I341" t="str">
        <f>IFERROR(IF(OR(INDEX(tblTrans[ProductID],340)="",ISNUMBER(SEARCH("ProductID",INDEX(tblTrans[ProductID],340)))),"",D341*_xlfn.XLOOKUP(B341,tblProducts[ProductID],tblProducts[UnitCost],0)),"")</f>
        <v/>
      </c>
    </row>
    <row r="342" spans="1:9" x14ac:dyDescent="0.3">
      <c r="A342" s="5" t="str">
        <f>IFERROR(IF(OR(INDEX(tblTrans[ProductID],341)="",ISNUMBER(SEARCH("ProductID",INDEX(tblTrans[ProductID],341)))),"",INDEX(tblTrans[Date],341)),"")</f>
        <v/>
      </c>
      <c r="B342" t="str">
        <f>IFERROR(IF(OR(INDEX(tblTrans[ProductID],341)="",ISNUMBER(SEARCH("ProductID",INDEX(tblTrans[ProductID],341)))),"",INDEX(tblTrans[ProductID],341)),"")</f>
        <v/>
      </c>
      <c r="C342" t="str">
        <f>IFERROR(IF(OR(INDEX(tblTrans[ProductID],341)="",ISNUMBER(SEARCH("ProductID",INDEX(tblTrans[ProductID],341)))),"",INDEX(tblTrans[Location],341)),"")</f>
        <v/>
      </c>
      <c r="D342" t="str">
        <f>IFERROR(IF(OR(INDEX(tblTrans[ProductID],341)="",ISNUMBER(SEARCH("ProductID",INDEX(tblTrans[ProductID],341)))),"",INDEX(tblTrans[Quantity],341)),"")</f>
        <v/>
      </c>
      <c r="E342" t="str">
        <f>IFERROR(IF(OR(INDEX(tblTrans[ProductID],341)="",ISNUMBER(SEARCH("ProductID",INDEX(tblTrans[ProductID],341)))),"",INDEX(tblTrans[Type],341)),"")</f>
        <v/>
      </c>
      <c r="F342" t="str">
        <f>IFERROR(IF(OR(INDEX(tblTrans[ProductID],341)="",ISNUMBER(SEARCH("ProductID",INDEX(tblTrans[ProductID],341)))),"",_xlfn.XLOOKUP(B342,tblProducts[ProductID],tblProducts[ProductName],"")),"")</f>
        <v/>
      </c>
      <c r="G342" t="str">
        <f>IFERROR(IF(OR(INDEX(tblTrans[ProductID],341)="",ISNUMBER(SEARCH("ProductID",INDEX(tblTrans[ProductID],341)))),"",_xlfn.XLOOKUP(B342,tblProducts[ProductID],tblProducts[Category],"")),"")</f>
        <v/>
      </c>
      <c r="H342" t="str">
        <f>IFERROR(IF(OR(INDEX(tblTrans[ProductID],341)="",ISNUMBER(SEARCH("ProductID",INDEX(tblTrans[ProductID],341)))),"",_xlfn.XLOOKUP(B342,tblProducts[ProductID],tblProducts[Supplier],"")),"")</f>
        <v/>
      </c>
      <c r="I342" t="str">
        <f>IFERROR(IF(OR(INDEX(tblTrans[ProductID],341)="",ISNUMBER(SEARCH("ProductID",INDEX(tblTrans[ProductID],341)))),"",D342*_xlfn.XLOOKUP(B342,tblProducts[ProductID],tblProducts[UnitCost],0)),"")</f>
        <v/>
      </c>
    </row>
    <row r="343" spans="1:9" x14ac:dyDescent="0.3">
      <c r="A343" s="5" t="str">
        <f>IFERROR(IF(OR(INDEX(tblTrans[ProductID],342)="",ISNUMBER(SEARCH("ProductID",INDEX(tblTrans[ProductID],342)))),"",INDEX(tblTrans[Date],342)),"")</f>
        <v/>
      </c>
      <c r="B343" t="str">
        <f>IFERROR(IF(OR(INDEX(tblTrans[ProductID],342)="",ISNUMBER(SEARCH("ProductID",INDEX(tblTrans[ProductID],342)))),"",INDEX(tblTrans[ProductID],342)),"")</f>
        <v/>
      </c>
      <c r="C343" t="str">
        <f>IFERROR(IF(OR(INDEX(tblTrans[ProductID],342)="",ISNUMBER(SEARCH("ProductID",INDEX(tblTrans[ProductID],342)))),"",INDEX(tblTrans[Location],342)),"")</f>
        <v/>
      </c>
      <c r="D343" t="str">
        <f>IFERROR(IF(OR(INDEX(tblTrans[ProductID],342)="",ISNUMBER(SEARCH("ProductID",INDEX(tblTrans[ProductID],342)))),"",INDEX(tblTrans[Quantity],342)),"")</f>
        <v/>
      </c>
      <c r="E343" t="str">
        <f>IFERROR(IF(OR(INDEX(tblTrans[ProductID],342)="",ISNUMBER(SEARCH("ProductID",INDEX(tblTrans[ProductID],342)))),"",INDEX(tblTrans[Type],342)),"")</f>
        <v/>
      </c>
      <c r="F343" t="str">
        <f>IFERROR(IF(OR(INDEX(tblTrans[ProductID],342)="",ISNUMBER(SEARCH("ProductID",INDEX(tblTrans[ProductID],342)))),"",_xlfn.XLOOKUP(B343,tblProducts[ProductID],tblProducts[ProductName],"")),"")</f>
        <v/>
      </c>
      <c r="G343" t="str">
        <f>IFERROR(IF(OR(INDEX(tblTrans[ProductID],342)="",ISNUMBER(SEARCH("ProductID",INDEX(tblTrans[ProductID],342)))),"",_xlfn.XLOOKUP(B343,tblProducts[ProductID],tblProducts[Category],"")),"")</f>
        <v/>
      </c>
      <c r="H343" t="str">
        <f>IFERROR(IF(OR(INDEX(tblTrans[ProductID],342)="",ISNUMBER(SEARCH("ProductID",INDEX(tblTrans[ProductID],342)))),"",_xlfn.XLOOKUP(B343,tblProducts[ProductID],tblProducts[Supplier],"")),"")</f>
        <v/>
      </c>
      <c r="I343" t="str">
        <f>IFERROR(IF(OR(INDEX(tblTrans[ProductID],342)="",ISNUMBER(SEARCH("ProductID",INDEX(tblTrans[ProductID],342)))),"",D343*_xlfn.XLOOKUP(B343,tblProducts[ProductID],tblProducts[UnitCost],0)),"")</f>
        <v/>
      </c>
    </row>
    <row r="344" spans="1:9" x14ac:dyDescent="0.3">
      <c r="A344" s="5" t="str">
        <f>IFERROR(IF(OR(INDEX(tblTrans[ProductID],343)="",ISNUMBER(SEARCH("ProductID",INDEX(tblTrans[ProductID],343)))),"",INDEX(tblTrans[Date],343)),"")</f>
        <v/>
      </c>
      <c r="B344" t="str">
        <f>IFERROR(IF(OR(INDEX(tblTrans[ProductID],343)="",ISNUMBER(SEARCH("ProductID",INDEX(tblTrans[ProductID],343)))),"",INDEX(tblTrans[ProductID],343)),"")</f>
        <v/>
      </c>
      <c r="C344" t="str">
        <f>IFERROR(IF(OR(INDEX(tblTrans[ProductID],343)="",ISNUMBER(SEARCH("ProductID",INDEX(tblTrans[ProductID],343)))),"",INDEX(tblTrans[Location],343)),"")</f>
        <v/>
      </c>
      <c r="D344" t="str">
        <f>IFERROR(IF(OR(INDEX(tblTrans[ProductID],343)="",ISNUMBER(SEARCH("ProductID",INDEX(tblTrans[ProductID],343)))),"",INDEX(tblTrans[Quantity],343)),"")</f>
        <v/>
      </c>
      <c r="E344" t="str">
        <f>IFERROR(IF(OR(INDEX(tblTrans[ProductID],343)="",ISNUMBER(SEARCH("ProductID",INDEX(tblTrans[ProductID],343)))),"",INDEX(tblTrans[Type],343)),"")</f>
        <v/>
      </c>
      <c r="F344" t="str">
        <f>IFERROR(IF(OR(INDEX(tblTrans[ProductID],343)="",ISNUMBER(SEARCH("ProductID",INDEX(tblTrans[ProductID],343)))),"",_xlfn.XLOOKUP(B344,tblProducts[ProductID],tblProducts[ProductName],"")),"")</f>
        <v/>
      </c>
      <c r="G344" t="str">
        <f>IFERROR(IF(OR(INDEX(tblTrans[ProductID],343)="",ISNUMBER(SEARCH("ProductID",INDEX(tblTrans[ProductID],343)))),"",_xlfn.XLOOKUP(B344,tblProducts[ProductID],tblProducts[Category],"")),"")</f>
        <v/>
      </c>
      <c r="H344" t="str">
        <f>IFERROR(IF(OR(INDEX(tblTrans[ProductID],343)="",ISNUMBER(SEARCH("ProductID",INDEX(tblTrans[ProductID],343)))),"",_xlfn.XLOOKUP(B344,tblProducts[ProductID],tblProducts[Supplier],"")),"")</f>
        <v/>
      </c>
      <c r="I344" t="str">
        <f>IFERROR(IF(OR(INDEX(tblTrans[ProductID],343)="",ISNUMBER(SEARCH("ProductID",INDEX(tblTrans[ProductID],343)))),"",D344*_xlfn.XLOOKUP(B344,tblProducts[ProductID],tblProducts[UnitCost],0)),"")</f>
        <v/>
      </c>
    </row>
    <row r="345" spans="1:9" x14ac:dyDescent="0.3">
      <c r="A345" s="5" t="str">
        <f>IFERROR(IF(OR(INDEX(tblTrans[ProductID],344)="",ISNUMBER(SEARCH("ProductID",INDEX(tblTrans[ProductID],344)))),"",INDEX(tblTrans[Date],344)),"")</f>
        <v/>
      </c>
      <c r="B345" t="str">
        <f>IFERROR(IF(OR(INDEX(tblTrans[ProductID],344)="",ISNUMBER(SEARCH("ProductID",INDEX(tblTrans[ProductID],344)))),"",INDEX(tblTrans[ProductID],344)),"")</f>
        <v/>
      </c>
      <c r="C345" t="str">
        <f>IFERROR(IF(OR(INDEX(tblTrans[ProductID],344)="",ISNUMBER(SEARCH("ProductID",INDEX(tblTrans[ProductID],344)))),"",INDEX(tblTrans[Location],344)),"")</f>
        <v/>
      </c>
      <c r="D345" t="str">
        <f>IFERROR(IF(OR(INDEX(tblTrans[ProductID],344)="",ISNUMBER(SEARCH("ProductID",INDEX(tblTrans[ProductID],344)))),"",INDEX(tblTrans[Quantity],344)),"")</f>
        <v/>
      </c>
      <c r="E345" t="str">
        <f>IFERROR(IF(OR(INDEX(tblTrans[ProductID],344)="",ISNUMBER(SEARCH("ProductID",INDEX(tblTrans[ProductID],344)))),"",INDEX(tblTrans[Type],344)),"")</f>
        <v/>
      </c>
      <c r="F345" t="str">
        <f>IFERROR(IF(OR(INDEX(tblTrans[ProductID],344)="",ISNUMBER(SEARCH("ProductID",INDEX(tblTrans[ProductID],344)))),"",_xlfn.XLOOKUP(B345,tblProducts[ProductID],tblProducts[ProductName],"")),"")</f>
        <v/>
      </c>
      <c r="G345" t="str">
        <f>IFERROR(IF(OR(INDEX(tblTrans[ProductID],344)="",ISNUMBER(SEARCH("ProductID",INDEX(tblTrans[ProductID],344)))),"",_xlfn.XLOOKUP(B345,tblProducts[ProductID],tblProducts[Category],"")),"")</f>
        <v/>
      </c>
      <c r="H345" t="str">
        <f>IFERROR(IF(OR(INDEX(tblTrans[ProductID],344)="",ISNUMBER(SEARCH("ProductID",INDEX(tblTrans[ProductID],344)))),"",_xlfn.XLOOKUP(B345,tblProducts[ProductID],tblProducts[Supplier],"")),"")</f>
        <v/>
      </c>
      <c r="I345" t="str">
        <f>IFERROR(IF(OR(INDEX(tblTrans[ProductID],344)="",ISNUMBER(SEARCH("ProductID",INDEX(tblTrans[ProductID],344)))),"",D345*_xlfn.XLOOKUP(B345,tblProducts[ProductID],tblProducts[UnitCost],0)),"")</f>
        <v/>
      </c>
    </row>
    <row r="346" spans="1:9" x14ac:dyDescent="0.3">
      <c r="A346" s="5" t="str">
        <f>IFERROR(IF(OR(INDEX(tblTrans[ProductID],345)="",ISNUMBER(SEARCH("ProductID",INDEX(tblTrans[ProductID],345)))),"",INDEX(tblTrans[Date],345)),"")</f>
        <v/>
      </c>
      <c r="B346" t="str">
        <f>IFERROR(IF(OR(INDEX(tblTrans[ProductID],345)="",ISNUMBER(SEARCH("ProductID",INDEX(tblTrans[ProductID],345)))),"",INDEX(tblTrans[ProductID],345)),"")</f>
        <v/>
      </c>
      <c r="C346" t="str">
        <f>IFERROR(IF(OR(INDEX(tblTrans[ProductID],345)="",ISNUMBER(SEARCH("ProductID",INDEX(tblTrans[ProductID],345)))),"",INDEX(tblTrans[Location],345)),"")</f>
        <v/>
      </c>
      <c r="D346" t="str">
        <f>IFERROR(IF(OR(INDEX(tblTrans[ProductID],345)="",ISNUMBER(SEARCH("ProductID",INDEX(tblTrans[ProductID],345)))),"",INDEX(tblTrans[Quantity],345)),"")</f>
        <v/>
      </c>
      <c r="E346" t="str">
        <f>IFERROR(IF(OR(INDEX(tblTrans[ProductID],345)="",ISNUMBER(SEARCH("ProductID",INDEX(tblTrans[ProductID],345)))),"",INDEX(tblTrans[Type],345)),"")</f>
        <v/>
      </c>
      <c r="F346" t="str">
        <f>IFERROR(IF(OR(INDEX(tblTrans[ProductID],345)="",ISNUMBER(SEARCH("ProductID",INDEX(tblTrans[ProductID],345)))),"",_xlfn.XLOOKUP(B346,tblProducts[ProductID],tblProducts[ProductName],"")),"")</f>
        <v/>
      </c>
      <c r="G346" t="str">
        <f>IFERROR(IF(OR(INDEX(tblTrans[ProductID],345)="",ISNUMBER(SEARCH("ProductID",INDEX(tblTrans[ProductID],345)))),"",_xlfn.XLOOKUP(B346,tblProducts[ProductID],tblProducts[Category],"")),"")</f>
        <v/>
      </c>
      <c r="H346" t="str">
        <f>IFERROR(IF(OR(INDEX(tblTrans[ProductID],345)="",ISNUMBER(SEARCH("ProductID",INDEX(tblTrans[ProductID],345)))),"",_xlfn.XLOOKUP(B346,tblProducts[ProductID],tblProducts[Supplier],"")),"")</f>
        <v/>
      </c>
      <c r="I346" t="str">
        <f>IFERROR(IF(OR(INDEX(tblTrans[ProductID],345)="",ISNUMBER(SEARCH("ProductID",INDEX(tblTrans[ProductID],345)))),"",D346*_xlfn.XLOOKUP(B346,tblProducts[ProductID],tblProducts[UnitCost],0)),"")</f>
        <v/>
      </c>
    </row>
    <row r="347" spans="1:9" x14ac:dyDescent="0.3">
      <c r="A347" s="5" t="str">
        <f>IFERROR(IF(OR(INDEX(tblTrans[ProductID],346)="",ISNUMBER(SEARCH("ProductID",INDEX(tblTrans[ProductID],346)))),"",INDEX(tblTrans[Date],346)),"")</f>
        <v/>
      </c>
      <c r="B347" t="str">
        <f>IFERROR(IF(OR(INDEX(tblTrans[ProductID],346)="",ISNUMBER(SEARCH("ProductID",INDEX(tblTrans[ProductID],346)))),"",INDEX(tblTrans[ProductID],346)),"")</f>
        <v/>
      </c>
      <c r="C347" t="str">
        <f>IFERROR(IF(OR(INDEX(tblTrans[ProductID],346)="",ISNUMBER(SEARCH("ProductID",INDEX(tblTrans[ProductID],346)))),"",INDEX(tblTrans[Location],346)),"")</f>
        <v/>
      </c>
      <c r="D347" t="str">
        <f>IFERROR(IF(OR(INDEX(tblTrans[ProductID],346)="",ISNUMBER(SEARCH("ProductID",INDEX(tblTrans[ProductID],346)))),"",INDEX(tblTrans[Quantity],346)),"")</f>
        <v/>
      </c>
      <c r="E347" t="str">
        <f>IFERROR(IF(OR(INDEX(tblTrans[ProductID],346)="",ISNUMBER(SEARCH("ProductID",INDEX(tblTrans[ProductID],346)))),"",INDEX(tblTrans[Type],346)),"")</f>
        <v/>
      </c>
      <c r="F347" t="str">
        <f>IFERROR(IF(OR(INDEX(tblTrans[ProductID],346)="",ISNUMBER(SEARCH("ProductID",INDEX(tblTrans[ProductID],346)))),"",_xlfn.XLOOKUP(B347,tblProducts[ProductID],tblProducts[ProductName],"")),"")</f>
        <v/>
      </c>
      <c r="G347" t="str">
        <f>IFERROR(IF(OR(INDEX(tblTrans[ProductID],346)="",ISNUMBER(SEARCH("ProductID",INDEX(tblTrans[ProductID],346)))),"",_xlfn.XLOOKUP(B347,tblProducts[ProductID],tblProducts[Category],"")),"")</f>
        <v/>
      </c>
      <c r="H347" t="str">
        <f>IFERROR(IF(OR(INDEX(tblTrans[ProductID],346)="",ISNUMBER(SEARCH("ProductID",INDEX(tblTrans[ProductID],346)))),"",_xlfn.XLOOKUP(B347,tblProducts[ProductID],tblProducts[Supplier],"")),"")</f>
        <v/>
      </c>
      <c r="I347" t="str">
        <f>IFERROR(IF(OR(INDEX(tblTrans[ProductID],346)="",ISNUMBER(SEARCH("ProductID",INDEX(tblTrans[ProductID],346)))),"",D347*_xlfn.XLOOKUP(B347,tblProducts[ProductID],tblProducts[UnitCost],0)),"")</f>
        <v/>
      </c>
    </row>
    <row r="348" spans="1:9" x14ac:dyDescent="0.3">
      <c r="A348" s="5" t="str">
        <f>IFERROR(IF(OR(INDEX(tblTrans[ProductID],347)="",ISNUMBER(SEARCH("ProductID",INDEX(tblTrans[ProductID],347)))),"",INDEX(tblTrans[Date],347)),"")</f>
        <v/>
      </c>
      <c r="B348" t="str">
        <f>IFERROR(IF(OR(INDEX(tblTrans[ProductID],347)="",ISNUMBER(SEARCH("ProductID",INDEX(tblTrans[ProductID],347)))),"",INDEX(tblTrans[ProductID],347)),"")</f>
        <v/>
      </c>
      <c r="C348" t="str">
        <f>IFERROR(IF(OR(INDEX(tblTrans[ProductID],347)="",ISNUMBER(SEARCH("ProductID",INDEX(tblTrans[ProductID],347)))),"",INDEX(tblTrans[Location],347)),"")</f>
        <v/>
      </c>
      <c r="D348" t="str">
        <f>IFERROR(IF(OR(INDEX(tblTrans[ProductID],347)="",ISNUMBER(SEARCH("ProductID",INDEX(tblTrans[ProductID],347)))),"",INDEX(tblTrans[Quantity],347)),"")</f>
        <v/>
      </c>
      <c r="E348" t="str">
        <f>IFERROR(IF(OR(INDEX(tblTrans[ProductID],347)="",ISNUMBER(SEARCH("ProductID",INDEX(tblTrans[ProductID],347)))),"",INDEX(tblTrans[Type],347)),"")</f>
        <v/>
      </c>
      <c r="F348" t="str">
        <f>IFERROR(IF(OR(INDEX(tblTrans[ProductID],347)="",ISNUMBER(SEARCH("ProductID",INDEX(tblTrans[ProductID],347)))),"",_xlfn.XLOOKUP(B348,tblProducts[ProductID],tblProducts[ProductName],"")),"")</f>
        <v/>
      </c>
      <c r="G348" t="str">
        <f>IFERROR(IF(OR(INDEX(tblTrans[ProductID],347)="",ISNUMBER(SEARCH("ProductID",INDEX(tblTrans[ProductID],347)))),"",_xlfn.XLOOKUP(B348,tblProducts[ProductID],tblProducts[Category],"")),"")</f>
        <v/>
      </c>
      <c r="H348" t="str">
        <f>IFERROR(IF(OR(INDEX(tblTrans[ProductID],347)="",ISNUMBER(SEARCH("ProductID",INDEX(tblTrans[ProductID],347)))),"",_xlfn.XLOOKUP(B348,tblProducts[ProductID],tblProducts[Supplier],"")),"")</f>
        <v/>
      </c>
      <c r="I348" t="str">
        <f>IFERROR(IF(OR(INDEX(tblTrans[ProductID],347)="",ISNUMBER(SEARCH("ProductID",INDEX(tblTrans[ProductID],347)))),"",D348*_xlfn.XLOOKUP(B348,tblProducts[ProductID],tblProducts[UnitCost],0)),"")</f>
        <v/>
      </c>
    </row>
    <row r="349" spans="1:9" x14ac:dyDescent="0.3">
      <c r="A349" s="5" t="str">
        <f>IFERROR(IF(OR(INDEX(tblTrans[ProductID],348)="",ISNUMBER(SEARCH("ProductID",INDEX(tblTrans[ProductID],348)))),"",INDEX(tblTrans[Date],348)),"")</f>
        <v/>
      </c>
      <c r="B349" t="str">
        <f>IFERROR(IF(OR(INDEX(tblTrans[ProductID],348)="",ISNUMBER(SEARCH("ProductID",INDEX(tblTrans[ProductID],348)))),"",INDEX(tblTrans[ProductID],348)),"")</f>
        <v/>
      </c>
      <c r="C349" t="str">
        <f>IFERROR(IF(OR(INDEX(tblTrans[ProductID],348)="",ISNUMBER(SEARCH("ProductID",INDEX(tblTrans[ProductID],348)))),"",INDEX(tblTrans[Location],348)),"")</f>
        <v/>
      </c>
      <c r="D349" t="str">
        <f>IFERROR(IF(OR(INDEX(tblTrans[ProductID],348)="",ISNUMBER(SEARCH("ProductID",INDEX(tblTrans[ProductID],348)))),"",INDEX(tblTrans[Quantity],348)),"")</f>
        <v/>
      </c>
      <c r="E349" t="str">
        <f>IFERROR(IF(OR(INDEX(tblTrans[ProductID],348)="",ISNUMBER(SEARCH("ProductID",INDEX(tblTrans[ProductID],348)))),"",INDEX(tblTrans[Type],348)),"")</f>
        <v/>
      </c>
      <c r="F349" t="str">
        <f>IFERROR(IF(OR(INDEX(tblTrans[ProductID],348)="",ISNUMBER(SEARCH("ProductID",INDEX(tblTrans[ProductID],348)))),"",_xlfn.XLOOKUP(B349,tblProducts[ProductID],tblProducts[ProductName],"")),"")</f>
        <v/>
      </c>
      <c r="G349" t="str">
        <f>IFERROR(IF(OR(INDEX(tblTrans[ProductID],348)="",ISNUMBER(SEARCH("ProductID",INDEX(tblTrans[ProductID],348)))),"",_xlfn.XLOOKUP(B349,tblProducts[ProductID],tblProducts[Category],"")),"")</f>
        <v/>
      </c>
      <c r="H349" t="str">
        <f>IFERROR(IF(OR(INDEX(tblTrans[ProductID],348)="",ISNUMBER(SEARCH("ProductID",INDEX(tblTrans[ProductID],348)))),"",_xlfn.XLOOKUP(B349,tblProducts[ProductID],tblProducts[Supplier],"")),"")</f>
        <v/>
      </c>
      <c r="I349" t="str">
        <f>IFERROR(IF(OR(INDEX(tblTrans[ProductID],348)="",ISNUMBER(SEARCH("ProductID",INDEX(tblTrans[ProductID],348)))),"",D349*_xlfn.XLOOKUP(B349,tblProducts[ProductID],tblProducts[UnitCost],0)),"")</f>
        <v/>
      </c>
    </row>
    <row r="350" spans="1:9" x14ac:dyDescent="0.3">
      <c r="A350" s="5" t="str">
        <f>IFERROR(IF(OR(INDEX(tblTrans[ProductID],349)="",ISNUMBER(SEARCH("ProductID",INDEX(tblTrans[ProductID],349)))),"",INDEX(tblTrans[Date],349)),"")</f>
        <v/>
      </c>
      <c r="B350" t="str">
        <f>IFERROR(IF(OR(INDEX(tblTrans[ProductID],349)="",ISNUMBER(SEARCH("ProductID",INDEX(tblTrans[ProductID],349)))),"",INDEX(tblTrans[ProductID],349)),"")</f>
        <v/>
      </c>
      <c r="C350" t="str">
        <f>IFERROR(IF(OR(INDEX(tblTrans[ProductID],349)="",ISNUMBER(SEARCH("ProductID",INDEX(tblTrans[ProductID],349)))),"",INDEX(tblTrans[Location],349)),"")</f>
        <v/>
      </c>
      <c r="D350" t="str">
        <f>IFERROR(IF(OR(INDEX(tblTrans[ProductID],349)="",ISNUMBER(SEARCH("ProductID",INDEX(tblTrans[ProductID],349)))),"",INDEX(tblTrans[Quantity],349)),"")</f>
        <v/>
      </c>
      <c r="E350" t="str">
        <f>IFERROR(IF(OR(INDEX(tblTrans[ProductID],349)="",ISNUMBER(SEARCH("ProductID",INDEX(tblTrans[ProductID],349)))),"",INDEX(tblTrans[Type],349)),"")</f>
        <v/>
      </c>
      <c r="F350" t="str">
        <f>IFERROR(IF(OR(INDEX(tblTrans[ProductID],349)="",ISNUMBER(SEARCH("ProductID",INDEX(tblTrans[ProductID],349)))),"",_xlfn.XLOOKUP(B350,tblProducts[ProductID],tblProducts[ProductName],"")),"")</f>
        <v/>
      </c>
      <c r="G350" t="str">
        <f>IFERROR(IF(OR(INDEX(tblTrans[ProductID],349)="",ISNUMBER(SEARCH("ProductID",INDEX(tblTrans[ProductID],349)))),"",_xlfn.XLOOKUP(B350,tblProducts[ProductID],tblProducts[Category],"")),"")</f>
        <v/>
      </c>
      <c r="H350" t="str">
        <f>IFERROR(IF(OR(INDEX(tblTrans[ProductID],349)="",ISNUMBER(SEARCH("ProductID",INDEX(tblTrans[ProductID],349)))),"",_xlfn.XLOOKUP(B350,tblProducts[ProductID],tblProducts[Supplier],"")),"")</f>
        <v/>
      </c>
      <c r="I350" t="str">
        <f>IFERROR(IF(OR(INDEX(tblTrans[ProductID],349)="",ISNUMBER(SEARCH("ProductID",INDEX(tblTrans[ProductID],349)))),"",D350*_xlfn.XLOOKUP(B350,tblProducts[ProductID],tblProducts[UnitCost],0)),"")</f>
        <v/>
      </c>
    </row>
    <row r="351" spans="1:9" x14ac:dyDescent="0.3">
      <c r="A351" s="5" t="str">
        <f>IFERROR(IF(OR(INDEX(tblTrans[ProductID],350)="",ISNUMBER(SEARCH("ProductID",INDEX(tblTrans[ProductID],350)))),"",INDEX(tblTrans[Date],350)),"")</f>
        <v/>
      </c>
      <c r="B351" t="str">
        <f>IFERROR(IF(OR(INDEX(tblTrans[ProductID],350)="",ISNUMBER(SEARCH("ProductID",INDEX(tblTrans[ProductID],350)))),"",INDEX(tblTrans[ProductID],350)),"")</f>
        <v/>
      </c>
      <c r="C351" t="str">
        <f>IFERROR(IF(OR(INDEX(tblTrans[ProductID],350)="",ISNUMBER(SEARCH("ProductID",INDEX(tblTrans[ProductID],350)))),"",INDEX(tblTrans[Location],350)),"")</f>
        <v/>
      </c>
      <c r="D351" t="str">
        <f>IFERROR(IF(OR(INDEX(tblTrans[ProductID],350)="",ISNUMBER(SEARCH("ProductID",INDEX(tblTrans[ProductID],350)))),"",INDEX(tblTrans[Quantity],350)),"")</f>
        <v/>
      </c>
      <c r="E351" t="str">
        <f>IFERROR(IF(OR(INDEX(tblTrans[ProductID],350)="",ISNUMBER(SEARCH("ProductID",INDEX(tblTrans[ProductID],350)))),"",INDEX(tblTrans[Type],350)),"")</f>
        <v/>
      </c>
      <c r="F351" t="str">
        <f>IFERROR(IF(OR(INDEX(tblTrans[ProductID],350)="",ISNUMBER(SEARCH("ProductID",INDEX(tblTrans[ProductID],350)))),"",_xlfn.XLOOKUP(B351,tblProducts[ProductID],tblProducts[ProductName],"")),"")</f>
        <v/>
      </c>
      <c r="G351" t="str">
        <f>IFERROR(IF(OR(INDEX(tblTrans[ProductID],350)="",ISNUMBER(SEARCH("ProductID",INDEX(tblTrans[ProductID],350)))),"",_xlfn.XLOOKUP(B351,tblProducts[ProductID],tblProducts[Category],"")),"")</f>
        <v/>
      </c>
      <c r="H351" t="str">
        <f>IFERROR(IF(OR(INDEX(tblTrans[ProductID],350)="",ISNUMBER(SEARCH("ProductID",INDEX(tblTrans[ProductID],350)))),"",_xlfn.XLOOKUP(B351,tblProducts[ProductID],tblProducts[Supplier],"")),"")</f>
        <v/>
      </c>
      <c r="I351" t="str">
        <f>IFERROR(IF(OR(INDEX(tblTrans[ProductID],350)="",ISNUMBER(SEARCH("ProductID",INDEX(tblTrans[ProductID],350)))),"",D351*_xlfn.XLOOKUP(B351,tblProducts[ProductID],tblProducts[UnitCost],0)),"")</f>
        <v/>
      </c>
    </row>
    <row r="352" spans="1:9" x14ac:dyDescent="0.3">
      <c r="A352" s="5" t="str">
        <f>IFERROR(IF(OR(INDEX(tblTrans[ProductID],351)="",ISNUMBER(SEARCH("ProductID",INDEX(tblTrans[ProductID],351)))),"",INDEX(tblTrans[Date],351)),"")</f>
        <v/>
      </c>
      <c r="B352" t="str">
        <f>IFERROR(IF(OR(INDEX(tblTrans[ProductID],351)="",ISNUMBER(SEARCH("ProductID",INDEX(tblTrans[ProductID],351)))),"",INDEX(tblTrans[ProductID],351)),"")</f>
        <v/>
      </c>
      <c r="C352" t="str">
        <f>IFERROR(IF(OR(INDEX(tblTrans[ProductID],351)="",ISNUMBER(SEARCH("ProductID",INDEX(tblTrans[ProductID],351)))),"",INDEX(tblTrans[Location],351)),"")</f>
        <v/>
      </c>
      <c r="D352" t="str">
        <f>IFERROR(IF(OR(INDEX(tblTrans[ProductID],351)="",ISNUMBER(SEARCH("ProductID",INDEX(tblTrans[ProductID],351)))),"",INDEX(tblTrans[Quantity],351)),"")</f>
        <v/>
      </c>
      <c r="E352" t="str">
        <f>IFERROR(IF(OR(INDEX(tblTrans[ProductID],351)="",ISNUMBER(SEARCH("ProductID",INDEX(tblTrans[ProductID],351)))),"",INDEX(tblTrans[Type],351)),"")</f>
        <v/>
      </c>
      <c r="F352" t="str">
        <f>IFERROR(IF(OR(INDEX(tblTrans[ProductID],351)="",ISNUMBER(SEARCH("ProductID",INDEX(tblTrans[ProductID],351)))),"",_xlfn.XLOOKUP(B352,tblProducts[ProductID],tblProducts[ProductName],"")),"")</f>
        <v/>
      </c>
      <c r="G352" t="str">
        <f>IFERROR(IF(OR(INDEX(tblTrans[ProductID],351)="",ISNUMBER(SEARCH("ProductID",INDEX(tblTrans[ProductID],351)))),"",_xlfn.XLOOKUP(B352,tblProducts[ProductID],tblProducts[Category],"")),"")</f>
        <v/>
      </c>
      <c r="H352" t="str">
        <f>IFERROR(IF(OR(INDEX(tblTrans[ProductID],351)="",ISNUMBER(SEARCH("ProductID",INDEX(tblTrans[ProductID],351)))),"",_xlfn.XLOOKUP(B352,tblProducts[ProductID],tblProducts[Supplier],"")),"")</f>
        <v/>
      </c>
      <c r="I352" t="str">
        <f>IFERROR(IF(OR(INDEX(tblTrans[ProductID],351)="",ISNUMBER(SEARCH("ProductID",INDEX(tblTrans[ProductID],351)))),"",D352*_xlfn.XLOOKUP(B352,tblProducts[ProductID],tblProducts[UnitCost],0)),"")</f>
        <v/>
      </c>
    </row>
    <row r="353" spans="1:9" x14ac:dyDescent="0.3">
      <c r="A353" s="5" t="str">
        <f>IFERROR(IF(OR(INDEX(tblTrans[ProductID],352)="",ISNUMBER(SEARCH("ProductID",INDEX(tblTrans[ProductID],352)))),"",INDEX(tblTrans[Date],352)),"")</f>
        <v/>
      </c>
      <c r="B353" t="str">
        <f>IFERROR(IF(OR(INDEX(tblTrans[ProductID],352)="",ISNUMBER(SEARCH("ProductID",INDEX(tblTrans[ProductID],352)))),"",INDEX(tblTrans[ProductID],352)),"")</f>
        <v/>
      </c>
      <c r="C353" t="str">
        <f>IFERROR(IF(OR(INDEX(tblTrans[ProductID],352)="",ISNUMBER(SEARCH("ProductID",INDEX(tblTrans[ProductID],352)))),"",INDEX(tblTrans[Location],352)),"")</f>
        <v/>
      </c>
      <c r="D353" t="str">
        <f>IFERROR(IF(OR(INDEX(tblTrans[ProductID],352)="",ISNUMBER(SEARCH("ProductID",INDEX(tblTrans[ProductID],352)))),"",INDEX(tblTrans[Quantity],352)),"")</f>
        <v/>
      </c>
      <c r="E353" t="str">
        <f>IFERROR(IF(OR(INDEX(tblTrans[ProductID],352)="",ISNUMBER(SEARCH("ProductID",INDEX(tblTrans[ProductID],352)))),"",INDEX(tblTrans[Type],352)),"")</f>
        <v/>
      </c>
      <c r="F353" t="str">
        <f>IFERROR(IF(OR(INDEX(tblTrans[ProductID],352)="",ISNUMBER(SEARCH("ProductID",INDEX(tblTrans[ProductID],352)))),"",_xlfn.XLOOKUP(B353,tblProducts[ProductID],tblProducts[ProductName],"")),"")</f>
        <v/>
      </c>
      <c r="G353" t="str">
        <f>IFERROR(IF(OR(INDEX(tblTrans[ProductID],352)="",ISNUMBER(SEARCH("ProductID",INDEX(tblTrans[ProductID],352)))),"",_xlfn.XLOOKUP(B353,tblProducts[ProductID],tblProducts[Category],"")),"")</f>
        <v/>
      </c>
      <c r="H353" t="str">
        <f>IFERROR(IF(OR(INDEX(tblTrans[ProductID],352)="",ISNUMBER(SEARCH("ProductID",INDEX(tblTrans[ProductID],352)))),"",_xlfn.XLOOKUP(B353,tblProducts[ProductID],tblProducts[Supplier],"")),"")</f>
        <v/>
      </c>
      <c r="I353" t="str">
        <f>IFERROR(IF(OR(INDEX(tblTrans[ProductID],352)="",ISNUMBER(SEARCH("ProductID",INDEX(tblTrans[ProductID],352)))),"",D353*_xlfn.XLOOKUP(B353,tblProducts[ProductID],tblProducts[UnitCost],0)),"")</f>
        <v/>
      </c>
    </row>
    <row r="354" spans="1:9" x14ac:dyDescent="0.3">
      <c r="A354" s="5" t="str">
        <f>IFERROR(IF(OR(INDEX(tblTrans[ProductID],353)="",ISNUMBER(SEARCH("ProductID",INDEX(tblTrans[ProductID],353)))),"",INDEX(tblTrans[Date],353)),"")</f>
        <v/>
      </c>
      <c r="B354" t="str">
        <f>IFERROR(IF(OR(INDEX(tblTrans[ProductID],353)="",ISNUMBER(SEARCH("ProductID",INDEX(tblTrans[ProductID],353)))),"",INDEX(tblTrans[ProductID],353)),"")</f>
        <v/>
      </c>
      <c r="C354" t="str">
        <f>IFERROR(IF(OR(INDEX(tblTrans[ProductID],353)="",ISNUMBER(SEARCH("ProductID",INDEX(tblTrans[ProductID],353)))),"",INDEX(tblTrans[Location],353)),"")</f>
        <v/>
      </c>
      <c r="D354" t="str">
        <f>IFERROR(IF(OR(INDEX(tblTrans[ProductID],353)="",ISNUMBER(SEARCH("ProductID",INDEX(tblTrans[ProductID],353)))),"",INDEX(tblTrans[Quantity],353)),"")</f>
        <v/>
      </c>
      <c r="E354" t="str">
        <f>IFERROR(IF(OR(INDEX(tblTrans[ProductID],353)="",ISNUMBER(SEARCH("ProductID",INDEX(tblTrans[ProductID],353)))),"",INDEX(tblTrans[Type],353)),"")</f>
        <v/>
      </c>
      <c r="F354" t="str">
        <f>IFERROR(IF(OR(INDEX(tblTrans[ProductID],353)="",ISNUMBER(SEARCH("ProductID",INDEX(tblTrans[ProductID],353)))),"",_xlfn.XLOOKUP(B354,tblProducts[ProductID],tblProducts[ProductName],"")),"")</f>
        <v/>
      </c>
      <c r="G354" t="str">
        <f>IFERROR(IF(OR(INDEX(tblTrans[ProductID],353)="",ISNUMBER(SEARCH("ProductID",INDEX(tblTrans[ProductID],353)))),"",_xlfn.XLOOKUP(B354,tblProducts[ProductID],tblProducts[Category],"")),"")</f>
        <v/>
      </c>
      <c r="H354" t="str">
        <f>IFERROR(IF(OR(INDEX(tblTrans[ProductID],353)="",ISNUMBER(SEARCH("ProductID",INDEX(tblTrans[ProductID],353)))),"",_xlfn.XLOOKUP(B354,tblProducts[ProductID],tblProducts[Supplier],"")),"")</f>
        <v/>
      </c>
      <c r="I354" t="str">
        <f>IFERROR(IF(OR(INDEX(tblTrans[ProductID],353)="",ISNUMBER(SEARCH("ProductID",INDEX(tblTrans[ProductID],353)))),"",D354*_xlfn.XLOOKUP(B354,tblProducts[ProductID],tblProducts[UnitCost],0)),"")</f>
        <v/>
      </c>
    </row>
    <row r="355" spans="1:9" x14ac:dyDescent="0.3">
      <c r="A355" s="5" t="str">
        <f>IFERROR(IF(OR(INDEX(tblTrans[ProductID],354)="",ISNUMBER(SEARCH("ProductID",INDEX(tblTrans[ProductID],354)))),"",INDEX(tblTrans[Date],354)),"")</f>
        <v/>
      </c>
      <c r="B355" t="str">
        <f>IFERROR(IF(OR(INDEX(tblTrans[ProductID],354)="",ISNUMBER(SEARCH("ProductID",INDEX(tblTrans[ProductID],354)))),"",INDEX(tblTrans[ProductID],354)),"")</f>
        <v/>
      </c>
      <c r="C355" t="str">
        <f>IFERROR(IF(OR(INDEX(tblTrans[ProductID],354)="",ISNUMBER(SEARCH("ProductID",INDEX(tblTrans[ProductID],354)))),"",INDEX(tblTrans[Location],354)),"")</f>
        <v/>
      </c>
      <c r="D355" t="str">
        <f>IFERROR(IF(OR(INDEX(tblTrans[ProductID],354)="",ISNUMBER(SEARCH("ProductID",INDEX(tblTrans[ProductID],354)))),"",INDEX(tblTrans[Quantity],354)),"")</f>
        <v/>
      </c>
      <c r="E355" t="str">
        <f>IFERROR(IF(OR(INDEX(tblTrans[ProductID],354)="",ISNUMBER(SEARCH("ProductID",INDEX(tblTrans[ProductID],354)))),"",INDEX(tblTrans[Type],354)),"")</f>
        <v/>
      </c>
      <c r="F355" t="str">
        <f>IFERROR(IF(OR(INDEX(tblTrans[ProductID],354)="",ISNUMBER(SEARCH("ProductID",INDEX(tblTrans[ProductID],354)))),"",_xlfn.XLOOKUP(B355,tblProducts[ProductID],tblProducts[ProductName],"")),"")</f>
        <v/>
      </c>
      <c r="G355" t="str">
        <f>IFERROR(IF(OR(INDEX(tblTrans[ProductID],354)="",ISNUMBER(SEARCH("ProductID",INDEX(tblTrans[ProductID],354)))),"",_xlfn.XLOOKUP(B355,tblProducts[ProductID],tblProducts[Category],"")),"")</f>
        <v/>
      </c>
      <c r="H355" t="str">
        <f>IFERROR(IF(OR(INDEX(tblTrans[ProductID],354)="",ISNUMBER(SEARCH("ProductID",INDEX(tblTrans[ProductID],354)))),"",_xlfn.XLOOKUP(B355,tblProducts[ProductID],tblProducts[Supplier],"")),"")</f>
        <v/>
      </c>
      <c r="I355" t="str">
        <f>IFERROR(IF(OR(INDEX(tblTrans[ProductID],354)="",ISNUMBER(SEARCH("ProductID",INDEX(tblTrans[ProductID],354)))),"",D355*_xlfn.XLOOKUP(B355,tblProducts[ProductID],tblProducts[UnitCost],0)),"")</f>
        <v/>
      </c>
    </row>
    <row r="356" spans="1:9" x14ac:dyDescent="0.3">
      <c r="A356" s="5" t="str">
        <f>IFERROR(IF(OR(INDEX(tblTrans[ProductID],355)="",ISNUMBER(SEARCH("ProductID",INDEX(tblTrans[ProductID],355)))),"",INDEX(tblTrans[Date],355)),"")</f>
        <v/>
      </c>
      <c r="B356" t="str">
        <f>IFERROR(IF(OR(INDEX(tblTrans[ProductID],355)="",ISNUMBER(SEARCH("ProductID",INDEX(tblTrans[ProductID],355)))),"",INDEX(tblTrans[ProductID],355)),"")</f>
        <v/>
      </c>
      <c r="C356" t="str">
        <f>IFERROR(IF(OR(INDEX(tblTrans[ProductID],355)="",ISNUMBER(SEARCH("ProductID",INDEX(tblTrans[ProductID],355)))),"",INDEX(tblTrans[Location],355)),"")</f>
        <v/>
      </c>
      <c r="D356" t="str">
        <f>IFERROR(IF(OR(INDEX(tblTrans[ProductID],355)="",ISNUMBER(SEARCH("ProductID",INDEX(tblTrans[ProductID],355)))),"",INDEX(tblTrans[Quantity],355)),"")</f>
        <v/>
      </c>
      <c r="E356" t="str">
        <f>IFERROR(IF(OR(INDEX(tblTrans[ProductID],355)="",ISNUMBER(SEARCH("ProductID",INDEX(tblTrans[ProductID],355)))),"",INDEX(tblTrans[Type],355)),"")</f>
        <v/>
      </c>
      <c r="F356" t="str">
        <f>IFERROR(IF(OR(INDEX(tblTrans[ProductID],355)="",ISNUMBER(SEARCH("ProductID",INDEX(tblTrans[ProductID],355)))),"",_xlfn.XLOOKUP(B356,tblProducts[ProductID],tblProducts[ProductName],"")),"")</f>
        <v/>
      </c>
      <c r="G356" t="str">
        <f>IFERROR(IF(OR(INDEX(tblTrans[ProductID],355)="",ISNUMBER(SEARCH("ProductID",INDEX(tblTrans[ProductID],355)))),"",_xlfn.XLOOKUP(B356,tblProducts[ProductID],tblProducts[Category],"")),"")</f>
        <v/>
      </c>
      <c r="H356" t="str">
        <f>IFERROR(IF(OR(INDEX(tblTrans[ProductID],355)="",ISNUMBER(SEARCH("ProductID",INDEX(tblTrans[ProductID],355)))),"",_xlfn.XLOOKUP(B356,tblProducts[ProductID],tblProducts[Supplier],"")),"")</f>
        <v/>
      </c>
      <c r="I356" t="str">
        <f>IFERROR(IF(OR(INDEX(tblTrans[ProductID],355)="",ISNUMBER(SEARCH("ProductID",INDEX(tblTrans[ProductID],355)))),"",D356*_xlfn.XLOOKUP(B356,tblProducts[ProductID],tblProducts[UnitCost],0)),"")</f>
        <v/>
      </c>
    </row>
    <row r="357" spans="1:9" x14ac:dyDescent="0.3">
      <c r="A357" s="5" t="str">
        <f>IFERROR(IF(OR(INDEX(tblTrans[ProductID],356)="",ISNUMBER(SEARCH("ProductID",INDEX(tblTrans[ProductID],356)))),"",INDEX(tblTrans[Date],356)),"")</f>
        <v/>
      </c>
      <c r="B357" t="str">
        <f>IFERROR(IF(OR(INDEX(tblTrans[ProductID],356)="",ISNUMBER(SEARCH("ProductID",INDEX(tblTrans[ProductID],356)))),"",INDEX(tblTrans[ProductID],356)),"")</f>
        <v/>
      </c>
      <c r="C357" t="str">
        <f>IFERROR(IF(OR(INDEX(tblTrans[ProductID],356)="",ISNUMBER(SEARCH("ProductID",INDEX(tblTrans[ProductID],356)))),"",INDEX(tblTrans[Location],356)),"")</f>
        <v/>
      </c>
      <c r="D357" t="str">
        <f>IFERROR(IF(OR(INDEX(tblTrans[ProductID],356)="",ISNUMBER(SEARCH("ProductID",INDEX(tblTrans[ProductID],356)))),"",INDEX(tblTrans[Quantity],356)),"")</f>
        <v/>
      </c>
      <c r="E357" t="str">
        <f>IFERROR(IF(OR(INDEX(tblTrans[ProductID],356)="",ISNUMBER(SEARCH("ProductID",INDEX(tblTrans[ProductID],356)))),"",INDEX(tblTrans[Type],356)),"")</f>
        <v/>
      </c>
      <c r="F357" t="str">
        <f>IFERROR(IF(OR(INDEX(tblTrans[ProductID],356)="",ISNUMBER(SEARCH("ProductID",INDEX(tblTrans[ProductID],356)))),"",_xlfn.XLOOKUP(B357,tblProducts[ProductID],tblProducts[ProductName],"")),"")</f>
        <v/>
      </c>
      <c r="G357" t="str">
        <f>IFERROR(IF(OR(INDEX(tblTrans[ProductID],356)="",ISNUMBER(SEARCH("ProductID",INDEX(tblTrans[ProductID],356)))),"",_xlfn.XLOOKUP(B357,tblProducts[ProductID],tblProducts[Category],"")),"")</f>
        <v/>
      </c>
      <c r="H357" t="str">
        <f>IFERROR(IF(OR(INDEX(tblTrans[ProductID],356)="",ISNUMBER(SEARCH("ProductID",INDEX(tblTrans[ProductID],356)))),"",_xlfn.XLOOKUP(B357,tblProducts[ProductID],tblProducts[Supplier],"")),"")</f>
        <v/>
      </c>
      <c r="I357" t="str">
        <f>IFERROR(IF(OR(INDEX(tblTrans[ProductID],356)="",ISNUMBER(SEARCH("ProductID",INDEX(tblTrans[ProductID],356)))),"",D357*_xlfn.XLOOKUP(B357,tblProducts[ProductID],tblProducts[UnitCost],0)),"")</f>
        <v/>
      </c>
    </row>
    <row r="358" spans="1:9" x14ac:dyDescent="0.3">
      <c r="A358" s="5" t="str">
        <f>IFERROR(IF(OR(INDEX(tblTrans[ProductID],357)="",ISNUMBER(SEARCH("ProductID",INDEX(tblTrans[ProductID],357)))),"",INDEX(tblTrans[Date],357)),"")</f>
        <v/>
      </c>
      <c r="B358" t="str">
        <f>IFERROR(IF(OR(INDEX(tblTrans[ProductID],357)="",ISNUMBER(SEARCH("ProductID",INDEX(tblTrans[ProductID],357)))),"",INDEX(tblTrans[ProductID],357)),"")</f>
        <v/>
      </c>
      <c r="C358" t="str">
        <f>IFERROR(IF(OR(INDEX(tblTrans[ProductID],357)="",ISNUMBER(SEARCH("ProductID",INDEX(tblTrans[ProductID],357)))),"",INDEX(tblTrans[Location],357)),"")</f>
        <v/>
      </c>
      <c r="D358" t="str">
        <f>IFERROR(IF(OR(INDEX(tblTrans[ProductID],357)="",ISNUMBER(SEARCH("ProductID",INDEX(tblTrans[ProductID],357)))),"",INDEX(tblTrans[Quantity],357)),"")</f>
        <v/>
      </c>
      <c r="E358" t="str">
        <f>IFERROR(IF(OR(INDEX(tblTrans[ProductID],357)="",ISNUMBER(SEARCH("ProductID",INDEX(tblTrans[ProductID],357)))),"",INDEX(tblTrans[Type],357)),"")</f>
        <v/>
      </c>
      <c r="F358" t="str">
        <f>IFERROR(IF(OR(INDEX(tblTrans[ProductID],357)="",ISNUMBER(SEARCH("ProductID",INDEX(tblTrans[ProductID],357)))),"",_xlfn.XLOOKUP(B358,tblProducts[ProductID],tblProducts[ProductName],"")),"")</f>
        <v/>
      </c>
      <c r="G358" t="str">
        <f>IFERROR(IF(OR(INDEX(tblTrans[ProductID],357)="",ISNUMBER(SEARCH("ProductID",INDEX(tblTrans[ProductID],357)))),"",_xlfn.XLOOKUP(B358,tblProducts[ProductID],tblProducts[Category],"")),"")</f>
        <v/>
      </c>
      <c r="H358" t="str">
        <f>IFERROR(IF(OR(INDEX(tblTrans[ProductID],357)="",ISNUMBER(SEARCH("ProductID",INDEX(tblTrans[ProductID],357)))),"",_xlfn.XLOOKUP(B358,tblProducts[ProductID],tblProducts[Supplier],"")),"")</f>
        <v/>
      </c>
      <c r="I358" t="str">
        <f>IFERROR(IF(OR(INDEX(tblTrans[ProductID],357)="",ISNUMBER(SEARCH("ProductID",INDEX(tblTrans[ProductID],357)))),"",D358*_xlfn.XLOOKUP(B358,tblProducts[ProductID],tblProducts[UnitCost],0)),"")</f>
        <v/>
      </c>
    </row>
    <row r="359" spans="1:9" x14ac:dyDescent="0.3">
      <c r="A359" s="5" t="str">
        <f>IFERROR(IF(OR(INDEX(tblTrans[ProductID],358)="",ISNUMBER(SEARCH("ProductID",INDEX(tblTrans[ProductID],358)))),"",INDEX(tblTrans[Date],358)),"")</f>
        <v/>
      </c>
      <c r="B359" t="str">
        <f>IFERROR(IF(OR(INDEX(tblTrans[ProductID],358)="",ISNUMBER(SEARCH("ProductID",INDEX(tblTrans[ProductID],358)))),"",INDEX(tblTrans[ProductID],358)),"")</f>
        <v/>
      </c>
      <c r="C359" t="str">
        <f>IFERROR(IF(OR(INDEX(tblTrans[ProductID],358)="",ISNUMBER(SEARCH("ProductID",INDEX(tblTrans[ProductID],358)))),"",INDEX(tblTrans[Location],358)),"")</f>
        <v/>
      </c>
      <c r="D359" t="str">
        <f>IFERROR(IF(OR(INDEX(tblTrans[ProductID],358)="",ISNUMBER(SEARCH("ProductID",INDEX(tblTrans[ProductID],358)))),"",INDEX(tblTrans[Quantity],358)),"")</f>
        <v/>
      </c>
      <c r="E359" t="str">
        <f>IFERROR(IF(OR(INDEX(tblTrans[ProductID],358)="",ISNUMBER(SEARCH("ProductID",INDEX(tblTrans[ProductID],358)))),"",INDEX(tblTrans[Type],358)),"")</f>
        <v/>
      </c>
      <c r="F359" t="str">
        <f>IFERROR(IF(OR(INDEX(tblTrans[ProductID],358)="",ISNUMBER(SEARCH("ProductID",INDEX(tblTrans[ProductID],358)))),"",_xlfn.XLOOKUP(B359,tblProducts[ProductID],tblProducts[ProductName],"")),"")</f>
        <v/>
      </c>
      <c r="G359" t="str">
        <f>IFERROR(IF(OR(INDEX(tblTrans[ProductID],358)="",ISNUMBER(SEARCH("ProductID",INDEX(tblTrans[ProductID],358)))),"",_xlfn.XLOOKUP(B359,tblProducts[ProductID],tblProducts[Category],"")),"")</f>
        <v/>
      </c>
      <c r="H359" t="str">
        <f>IFERROR(IF(OR(INDEX(tblTrans[ProductID],358)="",ISNUMBER(SEARCH("ProductID",INDEX(tblTrans[ProductID],358)))),"",_xlfn.XLOOKUP(B359,tblProducts[ProductID],tblProducts[Supplier],"")),"")</f>
        <v/>
      </c>
      <c r="I359" t="str">
        <f>IFERROR(IF(OR(INDEX(tblTrans[ProductID],358)="",ISNUMBER(SEARCH("ProductID",INDEX(tblTrans[ProductID],358)))),"",D359*_xlfn.XLOOKUP(B359,tblProducts[ProductID],tblProducts[UnitCost],0)),"")</f>
        <v/>
      </c>
    </row>
    <row r="360" spans="1:9" x14ac:dyDescent="0.3">
      <c r="A360" s="5" t="str">
        <f>IFERROR(IF(OR(INDEX(tblTrans[ProductID],359)="",ISNUMBER(SEARCH("ProductID",INDEX(tblTrans[ProductID],359)))),"",INDEX(tblTrans[Date],359)),"")</f>
        <v/>
      </c>
      <c r="B360" t="str">
        <f>IFERROR(IF(OR(INDEX(tblTrans[ProductID],359)="",ISNUMBER(SEARCH("ProductID",INDEX(tblTrans[ProductID],359)))),"",INDEX(tblTrans[ProductID],359)),"")</f>
        <v/>
      </c>
      <c r="C360" t="str">
        <f>IFERROR(IF(OR(INDEX(tblTrans[ProductID],359)="",ISNUMBER(SEARCH("ProductID",INDEX(tblTrans[ProductID],359)))),"",INDEX(tblTrans[Location],359)),"")</f>
        <v/>
      </c>
      <c r="D360" t="str">
        <f>IFERROR(IF(OR(INDEX(tblTrans[ProductID],359)="",ISNUMBER(SEARCH("ProductID",INDEX(tblTrans[ProductID],359)))),"",INDEX(tblTrans[Quantity],359)),"")</f>
        <v/>
      </c>
      <c r="E360" t="str">
        <f>IFERROR(IF(OR(INDEX(tblTrans[ProductID],359)="",ISNUMBER(SEARCH("ProductID",INDEX(tblTrans[ProductID],359)))),"",INDEX(tblTrans[Type],359)),"")</f>
        <v/>
      </c>
      <c r="F360" t="str">
        <f>IFERROR(IF(OR(INDEX(tblTrans[ProductID],359)="",ISNUMBER(SEARCH("ProductID",INDEX(tblTrans[ProductID],359)))),"",_xlfn.XLOOKUP(B360,tblProducts[ProductID],tblProducts[ProductName],"")),"")</f>
        <v/>
      </c>
      <c r="G360" t="str">
        <f>IFERROR(IF(OR(INDEX(tblTrans[ProductID],359)="",ISNUMBER(SEARCH("ProductID",INDEX(tblTrans[ProductID],359)))),"",_xlfn.XLOOKUP(B360,tblProducts[ProductID],tblProducts[Category],"")),"")</f>
        <v/>
      </c>
      <c r="H360" t="str">
        <f>IFERROR(IF(OR(INDEX(tblTrans[ProductID],359)="",ISNUMBER(SEARCH("ProductID",INDEX(tblTrans[ProductID],359)))),"",_xlfn.XLOOKUP(B360,tblProducts[ProductID],tblProducts[Supplier],"")),"")</f>
        <v/>
      </c>
      <c r="I360" t="str">
        <f>IFERROR(IF(OR(INDEX(tblTrans[ProductID],359)="",ISNUMBER(SEARCH("ProductID",INDEX(tblTrans[ProductID],359)))),"",D360*_xlfn.XLOOKUP(B360,tblProducts[ProductID],tblProducts[UnitCost],0)),"")</f>
        <v/>
      </c>
    </row>
    <row r="361" spans="1:9" x14ac:dyDescent="0.3">
      <c r="A361" s="5" t="str">
        <f>IFERROR(IF(OR(INDEX(tblTrans[ProductID],360)="",ISNUMBER(SEARCH("ProductID",INDEX(tblTrans[ProductID],360)))),"",INDEX(tblTrans[Date],360)),"")</f>
        <v/>
      </c>
      <c r="B361" t="str">
        <f>IFERROR(IF(OR(INDEX(tblTrans[ProductID],360)="",ISNUMBER(SEARCH("ProductID",INDEX(tblTrans[ProductID],360)))),"",INDEX(tblTrans[ProductID],360)),"")</f>
        <v/>
      </c>
      <c r="C361" t="str">
        <f>IFERROR(IF(OR(INDEX(tblTrans[ProductID],360)="",ISNUMBER(SEARCH("ProductID",INDEX(tblTrans[ProductID],360)))),"",INDEX(tblTrans[Location],360)),"")</f>
        <v/>
      </c>
      <c r="D361" t="str">
        <f>IFERROR(IF(OR(INDEX(tblTrans[ProductID],360)="",ISNUMBER(SEARCH("ProductID",INDEX(tblTrans[ProductID],360)))),"",INDEX(tblTrans[Quantity],360)),"")</f>
        <v/>
      </c>
      <c r="E361" t="str">
        <f>IFERROR(IF(OR(INDEX(tblTrans[ProductID],360)="",ISNUMBER(SEARCH("ProductID",INDEX(tblTrans[ProductID],360)))),"",INDEX(tblTrans[Type],360)),"")</f>
        <v/>
      </c>
      <c r="F361" t="str">
        <f>IFERROR(IF(OR(INDEX(tblTrans[ProductID],360)="",ISNUMBER(SEARCH("ProductID",INDEX(tblTrans[ProductID],360)))),"",_xlfn.XLOOKUP(B361,tblProducts[ProductID],tblProducts[ProductName],"")),"")</f>
        <v/>
      </c>
      <c r="G361" t="str">
        <f>IFERROR(IF(OR(INDEX(tblTrans[ProductID],360)="",ISNUMBER(SEARCH("ProductID",INDEX(tblTrans[ProductID],360)))),"",_xlfn.XLOOKUP(B361,tblProducts[ProductID],tblProducts[Category],"")),"")</f>
        <v/>
      </c>
      <c r="H361" t="str">
        <f>IFERROR(IF(OR(INDEX(tblTrans[ProductID],360)="",ISNUMBER(SEARCH("ProductID",INDEX(tblTrans[ProductID],360)))),"",_xlfn.XLOOKUP(B361,tblProducts[ProductID],tblProducts[Supplier],"")),"")</f>
        <v/>
      </c>
      <c r="I361" t="str">
        <f>IFERROR(IF(OR(INDEX(tblTrans[ProductID],360)="",ISNUMBER(SEARCH("ProductID",INDEX(tblTrans[ProductID],360)))),"",D361*_xlfn.XLOOKUP(B361,tblProducts[ProductID],tblProducts[UnitCost],0)),"")</f>
        <v/>
      </c>
    </row>
    <row r="362" spans="1:9" x14ac:dyDescent="0.3">
      <c r="A362" s="5" t="str">
        <f>IFERROR(IF(OR(INDEX(tblTrans[ProductID],361)="",ISNUMBER(SEARCH("ProductID",INDEX(tblTrans[ProductID],361)))),"",INDEX(tblTrans[Date],361)),"")</f>
        <v/>
      </c>
      <c r="B362" t="str">
        <f>IFERROR(IF(OR(INDEX(tblTrans[ProductID],361)="",ISNUMBER(SEARCH("ProductID",INDEX(tblTrans[ProductID],361)))),"",INDEX(tblTrans[ProductID],361)),"")</f>
        <v/>
      </c>
      <c r="C362" t="str">
        <f>IFERROR(IF(OR(INDEX(tblTrans[ProductID],361)="",ISNUMBER(SEARCH("ProductID",INDEX(tblTrans[ProductID],361)))),"",INDEX(tblTrans[Location],361)),"")</f>
        <v/>
      </c>
      <c r="D362" t="str">
        <f>IFERROR(IF(OR(INDEX(tblTrans[ProductID],361)="",ISNUMBER(SEARCH("ProductID",INDEX(tblTrans[ProductID],361)))),"",INDEX(tblTrans[Quantity],361)),"")</f>
        <v/>
      </c>
      <c r="E362" t="str">
        <f>IFERROR(IF(OR(INDEX(tblTrans[ProductID],361)="",ISNUMBER(SEARCH("ProductID",INDEX(tblTrans[ProductID],361)))),"",INDEX(tblTrans[Type],361)),"")</f>
        <v/>
      </c>
      <c r="F362" t="str">
        <f>IFERROR(IF(OR(INDEX(tblTrans[ProductID],361)="",ISNUMBER(SEARCH("ProductID",INDEX(tblTrans[ProductID],361)))),"",_xlfn.XLOOKUP(B362,tblProducts[ProductID],tblProducts[ProductName],"")),"")</f>
        <v/>
      </c>
      <c r="G362" t="str">
        <f>IFERROR(IF(OR(INDEX(tblTrans[ProductID],361)="",ISNUMBER(SEARCH("ProductID",INDEX(tblTrans[ProductID],361)))),"",_xlfn.XLOOKUP(B362,tblProducts[ProductID],tblProducts[Category],"")),"")</f>
        <v/>
      </c>
      <c r="H362" t="str">
        <f>IFERROR(IF(OR(INDEX(tblTrans[ProductID],361)="",ISNUMBER(SEARCH("ProductID",INDEX(tblTrans[ProductID],361)))),"",_xlfn.XLOOKUP(B362,tblProducts[ProductID],tblProducts[Supplier],"")),"")</f>
        <v/>
      </c>
      <c r="I362" t="str">
        <f>IFERROR(IF(OR(INDEX(tblTrans[ProductID],361)="",ISNUMBER(SEARCH("ProductID",INDEX(tblTrans[ProductID],361)))),"",D362*_xlfn.XLOOKUP(B362,tblProducts[ProductID],tblProducts[UnitCost],0)),"")</f>
        <v/>
      </c>
    </row>
    <row r="363" spans="1:9" x14ac:dyDescent="0.3">
      <c r="A363" s="5" t="str">
        <f>IFERROR(IF(OR(INDEX(tblTrans[ProductID],362)="",ISNUMBER(SEARCH("ProductID",INDEX(tblTrans[ProductID],362)))),"",INDEX(tblTrans[Date],362)),"")</f>
        <v/>
      </c>
      <c r="B363" t="str">
        <f>IFERROR(IF(OR(INDEX(tblTrans[ProductID],362)="",ISNUMBER(SEARCH("ProductID",INDEX(tblTrans[ProductID],362)))),"",INDEX(tblTrans[ProductID],362)),"")</f>
        <v/>
      </c>
      <c r="C363" t="str">
        <f>IFERROR(IF(OR(INDEX(tblTrans[ProductID],362)="",ISNUMBER(SEARCH("ProductID",INDEX(tblTrans[ProductID],362)))),"",INDEX(tblTrans[Location],362)),"")</f>
        <v/>
      </c>
      <c r="D363" t="str">
        <f>IFERROR(IF(OR(INDEX(tblTrans[ProductID],362)="",ISNUMBER(SEARCH("ProductID",INDEX(tblTrans[ProductID],362)))),"",INDEX(tblTrans[Quantity],362)),"")</f>
        <v/>
      </c>
      <c r="E363" t="str">
        <f>IFERROR(IF(OR(INDEX(tblTrans[ProductID],362)="",ISNUMBER(SEARCH("ProductID",INDEX(tblTrans[ProductID],362)))),"",INDEX(tblTrans[Type],362)),"")</f>
        <v/>
      </c>
      <c r="F363" t="str">
        <f>IFERROR(IF(OR(INDEX(tblTrans[ProductID],362)="",ISNUMBER(SEARCH("ProductID",INDEX(tblTrans[ProductID],362)))),"",_xlfn.XLOOKUP(B363,tblProducts[ProductID],tblProducts[ProductName],"")),"")</f>
        <v/>
      </c>
      <c r="G363" t="str">
        <f>IFERROR(IF(OR(INDEX(tblTrans[ProductID],362)="",ISNUMBER(SEARCH("ProductID",INDEX(tblTrans[ProductID],362)))),"",_xlfn.XLOOKUP(B363,tblProducts[ProductID],tblProducts[Category],"")),"")</f>
        <v/>
      </c>
      <c r="H363" t="str">
        <f>IFERROR(IF(OR(INDEX(tblTrans[ProductID],362)="",ISNUMBER(SEARCH("ProductID",INDEX(tblTrans[ProductID],362)))),"",_xlfn.XLOOKUP(B363,tblProducts[ProductID],tblProducts[Supplier],"")),"")</f>
        <v/>
      </c>
      <c r="I363" t="str">
        <f>IFERROR(IF(OR(INDEX(tblTrans[ProductID],362)="",ISNUMBER(SEARCH("ProductID",INDEX(tblTrans[ProductID],362)))),"",D363*_xlfn.XLOOKUP(B363,tblProducts[ProductID],tblProducts[UnitCost],0)),"")</f>
        <v/>
      </c>
    </row>
    <row r="364" spans="1:9" x14ac:dyDescent="0.3">
      <c r="A364" s="5" t="str">
        <f>IFERROR(IF(OR(INDEX(tblTrans[ProductID],363)="",ISNUMBER(SEARCH("ProductID",INDEX(tblTrans[ProductID],363)))),"",INDEX(tblTrans[Date],363)),"")</f>
        <v/>
      </c>
      <c r="B364" t="str">
        <f>IFERROR(IF(OR(INDEX(tblTrans[ProductID],363)="",ISNUMBER(SEARCH("ProductID",INDEX(tblTrans[ProductID],363)))),"",INDEX(tblTrans[ProductID],363)),"")</f>
        <v/>
      </c>
      <c r="C364" t="str">
        <f>IFERROR(IF(OR(INDEX(tblTrans[ProductID],363)="",ISNUMBER(SEARCH("ProductID",INDEX(tblTrans[ProductID],363)))),"",INDEX(tblTrans[Location],363)),"")</f>
        <v/>
      </c>
      <c r="D364" t="str">
        <f>IFERROR(IF(OR(INDEX(tblTrans[ProductID],363)="",ISNUMBER(SEARCH("ProductID",INDEX(tblTrans[ProductID],363)))),"",INDEX(tblTrans[Quantity],363)),"")</f>
        <v/>
      </c>
      <c r="E364" t="str">
        <f>IFERROR(IF(OR(INDEX(tblTrans[ProductID],363)="",ISNUMBER(SEARCH("ProductID",INDEX(tblTrans[ProductID],363)))),"",INDEX(tblTrans[Type],363)),"")</f>
        <v/>
      </c>
      <c r="F364" t="str">
        <f>IFERROR(IF(OR(INDEX(tblTrans[ProductID],363)="",ISNUMBER(SEARCH("ProductID",INDEX(tblTrans[ProductID],363)))),"",_xlfn.XLOOKUP(B364,tblProducts[ProductID],tblProducts[ProductName],"")),"")</f>
        <v/>
      </c>
      <c r="G364" t="str">
        <f>IFERROR(IF(OR(INDEX(tblTrans[ProductID],363)="",ISNUMBER(SEARCH("ProductID",INDEX(tblTrans[ProductID],363)))),"",_xlfn.XLOOKUP(B364,tblProducts[ProductID],tblProducts[Category],"")),"")</f>
        <v/>
      </c>
      <c r="H364" t="str">
        <f>IFERROR(IF(OR(INDEX(tblTrans[ProductID],363)="",ISNUMBER(SEARCH("ProductID",INDEX(tblTrans[ProductID],363)))),"",_xlfn.XLOOKUP(B364,tblProducts[ProductID],tblProducts[Supplier],"")),"")</f>
        <v/>
      </c>
      <c r="I364" t="str">
        <f>IFERROR(IF(OR(INDEX(tblTrans[ProductID],363)="",ISNUMBER(SEARCH("ProductID",INDEX(tblTrans[ProductID],363)))),"",D364*_xlfn.XLOOKUP(B364,tblProducts[ProductID],tblProducts[UnitCost],0)),"")</f>
        <v/>
      </c>
    </row>
    <row r="365" spans="1:9" x14ac:dyDescent="0.3">
      <c r="A365" s="5" t="str">
        <f>IFERROR(IF(OR(INDEX(tblTrans[ProductID],364)="",ISNUMBER(SEARCH("ProductID",INDEX(tblTrans[ProductID],364)))),"",INDEX(tblTrans[Date],364)),"")</f>
        <v/>
      </c>
      <c r="B365" t="str">
        <f>IFERROR(IF(OR(INDEX(tblTrans[ProductID],364)="",ISNUMBER(SEARCH("ProductID",INDEX(tblTrans[ProductID],364)))),"",INDEX(tblTrans[ProductID],364)),"")</f>
        <v/>
      </c>
      <c r="C365" t="str">
        <f>IFERROR(IF(OR(INDEX(tblTrans[ProductID],364)="",ISNUMBER(SEARCH("ProductID",INDEX(tblTrans[ProductID],364)))),"",INDEX(tblTrans[Location],364)),"")</f>
        <v/>
      </c>
      <c r="D365" t="str">
        <f>IFERROR(IF(OR(INDEX(tblTrans[ProductID],364)="",ISNUMBER(SEARCH("ProductID",INDEX(tblTrans[ProductID],364)))),"",INDEX(tblTrans[Quantity],364)),"")</f>
        <v/>
      </c>
      <c r="E365" t="str">
        <f>IFERROR(IF(OR(INDEX(tblTrans[ProductID],364)="",ISNUMBER(SEARCH("ProductID",INDEX(tblTrans[ProductID],364)))),"",INDEX(tblTrans[Type],364)),"")</f>
        <v/>
      </c>
      <c r="F365" t="str">
        <f>IFERROR(IF(OR(INDEX(tblTrans[ProductID],364)="",ISNUMBER(SEARCH("ProductID",INDEX(tblTrans[ProductID],364)))),"",_xlfn.XLOOKUP(B365,tblProducts[ProductID],tblProducts[ProductName],"")),"")</f>
        <v/>
      </c>
      <c r="G365" t="str">
        <f>IFERROR(IF(OR(INDEX(tblTrans[ProductID],364)="",ISNUMBER(SEARCH("ProductID",INDEX(tblTrans[ProductID],364)))),"",_xlfn.XLOOKUP(B365,tblProducts[ProductID],tblProducts[Category],"")),"")</f>
        <v/>
      </c>
      <c r="H365" t="str">
        <f>IFERROR(IF(OR(INDEX(tblTrans[ProductID],364)="",ISNUMBER(SEARCH("ProductID",INDEX(tblTrans[ProductID],364)))),"",_xlfn.XLOOKUP(B365,tblProducts[ProductID],tblProducts[Supplier],"")),"")</f>
        <v/>
      </c>
      <c r="I365" t="str">
        <f>IFERROR(IF(OR(INDEX(tblTrans[ProductID],364)="",ISNUMBER(SEARCH("ProductID",INDEX(tblTrans[ProductID],364)))),"",D365*_xlfn.XLOOKUP(B365,tblProducts[ProductID],tblProducts[UnitCost],0)),"")</f>
        <v/>
      </c>
    </row>
    <row r="366" spans="1:9" x14ac:dyDescent="0.3">
      <c r="A366" s="5" t="str">
        <f>IFERROR(IF(OR(INDEX(tblTrans[ProductID],365)="",ISNUMBER(SEARCH("ProductID",INDEX(tblTrans[ProductID],365)))),"",INDEX(tblTrans[Date],365)),"")</f>
        <v/>
      </c>
      <c r="B366" t="str">
        <f>IFERROR(IF(OR(INDEX(tblTrans[ProductID],365)="",ISNUMBER(SEARCH("ProductID",INDEX(tblTrans[ProductID],365)))),"",INDEX(tblTrans[ProductID],365)),"")</f>
        <v/>
      </c>
      <c r="C366" t="str">
        <f>IFERROR(IF(OR(INDEX(tblTrans[ProductID],365)="",ISNUMBER(SEARCH("ProductID",INDEX(tblTrans[ProductID],365)))),"",INDEX(tblTrans[Location],365)),"")</f>
        <v/>
      </c>
      <c r="D366" t="str">
        <f>IFERROR(IF(OR(INDEX(tblTrans[ProductID],365)="",ISNUMBER(SEARCH("ProductID",INDEX(tblTrans[ProductID],365)))),"",INDEX(tblTrans[Quantity],365)),"")</f>
        <v/>
      </c>
      <c r="E366" t="str">
        <f>IFERROR(IF(OR(INDEX(tblTrans[ProductID],365)="",ISNUMBER(SEARCH("ProductID",INDEX(tblTrans[ProductID],365)))),"",INDEX(tblTrans[Type],365)),"")</f>
        <v/>
      </c>
      <c r="F366" t="str">
        <f>IFERROR(IF(OR(INDEX(tblTrans[ProductID],365)="",ISNUMBER(SEARCH("ProductID",INDEX(tblTrans[ProductID],365)))),"",_xlfn.XLOOKUP(B366,tblProducts[ProductID],tblProducts[ProductName],"")),"")</f>
        <v/>
      </c>
      <c r="G366" t="str">
        <f>IFERROR(IF(OR(INDEX(tblTrans[ProductID],365)="",ISNUMBER(SEARCH("ProductID",INDEX(tblTrans[ProductID],365)))),"",_xlfn.XLOOKUP(B366,tblProducts[ProductID],tblProducts[Category],"")),"")</f>
        <v/>
      </c>
      <c r="H366" t="str">
        <f>IFERROR(IF(OR(INDEX(tblTrans[ProductID],365)="",ISNUMBER(SEARCH("ProductID",INDEX(tblTrans[ProductID],365)))),"",_xlfn.XLOOKUP(B366,tblProducts[ProductID],tblProducts[Supplier],"")),"")</f>
        <v/>
      </c>
      <c r="I366" t="str">
        <f>IFERROR(IF(OR(INDEX(tblTrans[ProductID],365)="",ISNUMBER(SEARCH("ProductID",INDEX(tblTrans[ProductID],365)))),"",D366*_xlfn.XLOOKUP(B366,tblProducts[ProductID],tblProducts[UnitCost],0)),"")</f>
        <v/>
      </c>
    </row>
    <row r="367" spans="1:9" x14ac:dyDescent="0.3">
      <c r="A367" s="5" t="str">
        <f>IFERROR(IF(OR(INDEX(tblTrans[ProductID],366)="",ISNUMBER(SEARCH("ProductID",INDEX(tblTrans[ProductID],366)))),"",INDEX(tblTrans[Date],366)),"")</f>
        <v/>
      </c>
      <c r="B367" t="str">
        <f>IFERROR(IF(OR(INDEX(tblTrans[ProductID],366)="",ISNUMBER(SEARCH("ProductID",INDEX(tblTrans[ProductID],366)))),"",INDEX(tblTrans[ProductID],366)),"")</f>
        <v/>
      </c>
      <c r="C367" t="str">
        <f>IFERROR(IF(OR(INDEX(tblTrans[ProductID],366)="",ISNUMBER(SEARCH("ProductID",INDEX(tblTrans[ProductID],366)))),"",INDEX(tblTrans[Location],366)),"")</f>
        <v/>
      </c>
      <c r="D367" t="str">
        <f>IFERROR(IF(OR(INDEX(tblTrans[ProductID],366)="",ISNUMBER(SEARCH("ProductID",INDEX(tblTrans[ProductID],366)))),"",INDEX(tblTrans[Quantity],366)),"")</f>
        <v/>
      </c>
      <c r="E367" t="str">
        <f>IFERROR(IF(OR(INDEX(tblTrans[ProductID],366)="",ISNUMBER(SEARCH("ProductID",INDEX(tblTrans[ProductID],366)))),"",INDEX(tblTrans[Type],366)),"")</f>
        <v/>
      </c>
      <c r="F367" t="str">
        <f>IFERROR(IF(OR(INDEX(tblTrans[ProductID],366)="",ISNUMBER(SEARCH("ProductID",INDEX(tblTrans[ProductID],366)))),"",_xlfn.XLOOKUP(B367,tblProducts[ProductID],tblProducts[ProductName],"")),"")</f>
        <v/>
      </c>
      <c r="G367" t="str">
        <f>IFERROR(IF(OR(INDEX(tblTrans[ProductID],366)="",ISNUMBER(SEARCH("ProductID",INDEX(tblTrans[ProductID],366)))),"",_xlfn.XLOOKUP(B367,tblProducts[ProductID],tblProducts[Category],"")),"")</f>
        <v/>
      </c>
      <c r="H367" t="str">
        <f>IFERROR(IF(OR(INDEX(tblTrans[ProductID],366)="",ISNUMBER(SEARCH("ProductID",INDEX(tblTrans[ProductID],366)))),"",_xlfn.XLOOKUP(B367,tblProducts[ProductID],tblProducts[Supplier],"")),"")</f>
        <v/>
      </c>
      <c r="I367" t="str">
        <f>IFERROR(IF(OR(INDEX(tblTrans[ProductID],366)="",ISNUMBER(SEARCH("ProductID",INDEX(tblTrans[ProductID],366)))),"",D367*_xlfn.XLOOKUP(B367,tblProducts[ProductID],tblProducts[UnitCost],0)),"")</f>
        <v/>
      </c>
    </row>
    <row r="368" spans="1:9" x14ac:dyDescent="0.3">
      <c r="A368" s="5" t="str">
        <f>IFERROR(IF(OR(INDEX(tblTrans[ProductID],367)="",ISNUMBER(SEARCH("ProductID",INDEX(tblTrans[ProductID],367)))),"",INDEX(tblTrans[Date],367)),"")</f>
        <v/>
      </c>
      <c r="B368" t="str">
        <f>IFERROR(IF(OR(INDEX(tblTrans[ProductID],367)="",ISNUMBER(SEARCH("ProductID",INDEX(tblTrans[ProductID],367)))),"",INDEX(tblTrans[ProductID],367)),"")</f>
        <v/>
      </c>
      <c r="C368" t="str">
        <f>IFERROR(IF(OR(INDEX(tblTrans[ProductID],367)="",ISNUMBER(SEARCH("ProductID",INDEX(tblTrans[ProductID],367)))),"",INDEX(tblTrans[Location],367)),"")</f>
        <v/>
      </c>
      <c r="D368" t="str">
        <f>IFERROR(IF(OR(INDEX(tblTrans[ProductID],367)="",ISNUMBER(SEARCH("ProductID",INDEX(tblTrans[ProductID],367)))),"",INDEX(tblTrans[Quantity],367)),"")</f>
        <v/>
      </c>
      <c r="E368" t="str">
        <f>IFERROR(IF(OR(INDEX(tblTrans[ProductID],367)="",ISNUMBER(SEARCH("ProductID",INDEX(tblTrans[ProductID],367)))),"",INDEX(tblTrans[Type],367)),"")</f>
        <v/>
      </c>
      <c r="F368" t="str">
        <f>IFERROR(IF(OR(INDEX(tblTrans[ProductID],367)="",ISNUMBER(SEARCH("ProductID",INDEX(tblTrans[ProductID],367)))),"",_xlfn.XLOOKUP(B368,tblProducts[ProductID],tblProducts[ProductName],"")),"")</f>
        <v/>
      </c>
      <c r="G368" t="str">
        <f>IFERROR(IF(OR(INDEX(tblTrans[ProductID],367)="",ISNUMBER(SEARCH("ProductID",INDEX(tblTrans[ProductID],367)))),"",_xlfn.XLOOKUP(B368,tblProducts[ProductID],tblProducts[Category],"")),"")</f>
        <v/>
      </c>
      <c r="H368" t="str">
        <f>IFERROR(IF(OR(INDEX(tblTrans[ProductID],367)="",ISNUMBER(SEARCH("ProductID",INDEX(tblTrans[ProductID],367)))),"",_xlfn.XLOOKUP(B368,tblProducts[ProductID],tblProducts[Supplier],"")),"")</f>
        <v/>
      </c>
      <c r="I368" t="str">
        <f>IFERROR(IF(OR(INDEX(tblTrans[ProductID],367)="",ISNUMBER(SEARCH("ProductID",INDEX(tblTrans[ProductID],367)))),"",D368*_xlfn.XLOOKUP(B368,tblProducts[ProductID],tblProducts[UnitCost],0)),"")</f>
        <v/>
      </c>
    </row>
    <row r="369" spans="1:9" x14ac:dyDescent="0.3">
      <c r="A369" s="5" t="str">
        <f>IFERROR(IF(OR(INDEX(tblTrans[ProductID],368)="",ISNUMBER(SEARCH("ProductID",INDEX(tblTrans[ProductID],368)))),"",INDEX(tblTrans[Date],368)),"")</f>
        <v/>
      </c>
      <c r="B369" t="str">
        <f>IFERROR(IF(OR(INDEX(tblTrans[ProductID],368)="",ISNUMBER(SEARCH("ProductID",INDEX(tblTrans[ProductID],368)))),"",INDEX(tblTrans[ProductID],368)),"")</f>
        <v/>
      </c>
      <c r="C369" t="str">
        <f>IFERROR(IF(OR(INDEX(tblTrans[ProductID],368)="",ISNUMBER(SEARCH("ProductID",INDEX(tblTrans[ProductID],368)))),"",INDEX(tblTrans[Location],368)),"")</f>
        <v/>
      </c>
      <c r="D369" t="str">
        <f>IFERROR(IF(OR(INDEX(tblTrans[ProductID],368)="",ISNUMBER(SEARCH("ProductID",INDEX(tblTrans[ProductID],368)))),"",INDEX(tblTrans[Quantity],368)),"")</f>
        <v/>
      </c>
      <c r="E369" t="str">
        <f>IFERROR(IF(OR(INDEX(tblTrans[ProductID],368)="",ISNUMBER(SEARCH("ProductID",INDEX(tblTrans[ProductID],368)))),"",INDEX(tblTrans[Type],368)),"")</f>
        <v/>
      </c>
      <c r="F369" t="str">
        <f>IFERROR(IF(OR(INDEX(tblTrans[ProductID],368)="",ISNUMBER(SEARCH("ProductID",INDEX(tblTrans[ProductID],368)))),"",_xlfn.XLOOKUP(B369,tblProducts[ProductID],tblProducts[ProductName],"")),"")</f>
        <v/>
      </c>
      <c r="G369" t="str">
        <f>IFERROR(IF(OR(INDEX(tblTrans[ProductID],368)="",ISNUMBER(SEARCH("ProductID",INDEX(tblTrans[ProductID],368)))),"",_xlfn.XLOOKUP(B369,tblProducts[ProductID],tblProducts[Category],"")),"")</f>
        <v/>
      </c>
      <c r="H369" t="str">
        <f>IFERROR(IF(OR(INDEX(tblTrans[ProductID],368)="",ISNUMBER(SEARCH("ProductID",INDEX(tblTrans[ProductID],368)))),"",_xlfn.XLOOKUP(B369,tblProducts[ProductID],tblProducts[Supplier],"")),"")</f>
        <v/>
      </c>
      <c r="I369" t="str">
        <f>IFERROR(IF(OR(INDEX(tblTrans[ProductID],368)="",ISNUMBER(SEARCH("ProductID",INDEX(tblTrans[ProductID],368)))),"",D369*_xlfn.XLOOKUP(B369,tblProducts[ProductID],tblProducts[UnitCost],0)),"")</f>
        <v/>
      </c>
    </row>
    <row r="370" spans="1:9" x14ac:dyDescent="0.3">
      <c r="A370" s="5" t="str">
        <f>IFERROR(IF(OR(INDEX(tblTrans[ProductID],369)="",ISNUMBER(SEARCH("ProductID",INDEX(tblTrans[ProductID],369)))),"",INDEX(tblTrans[Date],369)),"")</f>
        <v/>
      </c>
      <c r="B370" t="str">
        <f>IFERROR(IF(OR(INDEX(tblTrans[ProductID],369)="",ISNUMBER(SEARCH("ProductID",INDEX(tblTrans[ProductID],369)))),"",INDEX(tblTrans[ProductID],369)),"")</f>
        <v/>
      </c>
      <c r="C370" t="str">
        <f>IFERROR(IF(OR(INDEX(tblTrans[ProductID],369)="",ISNUMBER(SEARCH("ProductID",INDEX(tblTrans[ProductID],369)))),"",INDEX(tblTrans[Location],369)),"")</f>
        <v/>
      </c>
      <c r="D370" t="str">
        <f>IFERROR(IF(OR(INDEX(tblTrans[ProductID],369)="",ISNUMBER(SEARCH("ProductID",INDEX(tblTrans[ProductID],369)))),"",INDEX(tblTrans[Quantity],369)),"")</f>
        <v/>
      </c>
      <c r="E370" t="str">
        <f>IFERROR(IF(OR(INDEX(tblTrans[ProductID],369)="",ISNUMBER(SEARCH("ProductID",INDEX(tblTrans[ProductID],369)))),"",INDEX(tblTrans[Type],369)),"")</f>
        <v/>
      </c>
      <c r="F370" t="str">
        <f>IFERROR(IF(OR(INDEX(tblTrans[ProductID],369)="",ISNUMBER(SEARCH("ProductID",INDEX(tblTrans[ProductID],369)))),"",_xlfn.XLOOKUP(B370,tblProducts[ProductID],tblProducts[ProductName],"")),"")</f>
        <v/>
      </c>
      <c r="G370" t="str">
        <f>IFERROR(IF(OR(INDEX(tblTrans[ProductID],369)="",ISNUMBER(SEARCH("ProductID",INDEX(tblTrans[ProductID],369)))),"",_xlfn.XLOOKUP(B370,tblProducts[ProductID],tblProducts[Category],"")),"")</f>
        <v/>
      </c>
      <c r="H370" t="str">
        <f>IFERROR(IF(OR(INDEX(tblTrans[ProductID],369)="",ISNUMBER(SEARCH("ProductID",INDEX(tblTrans[ProductID],369)))),"",_xlfn.XLOOKUP(B370,tblProducts[ProductID],tblProducts[Supplier],"")),"")</f>
        <v/>
      </c>
      <c r="I370" t="str">
        <f>IFERROR(IF(OR(INDEX(tblTrans[ProductID],369)="",ISNUMBER(SEARCH("ProductID",INDEX(tblTrans[ProductID],369)))),"",D370*_xlfn.XLOOKUP(B370,tblProducts[ProductID],tblProducts[UnitCost],0)),"")</f>
        <v/>
      </c>
    </row>
    <row r="371" spans="1:9" x14ac:dyDescent="0.3">
      <c r="A371" s="5" t="str">
        <f>IFERROR(IF(OR(INDEX(tblTrans[ProductID],370)="",ISNUMBER(SEARCH("ProductID",INDEX(tblTrans[ProductID],370)))),"",INDEX(tblTrans[Date],370)),"")</f>
        <v/>
      </c>
      <c r="B371" t="str">
        <f>IFERROR(IF(OR(INDEX(tblTrans[ProductID],370)="",ISNUMBER(SEARCH("ProductID",INDEX(tblTrans[ProductID],370)))),"",INDEX(tblTrans[ProductID],370)),"")</f>
        <v/>
      </c>
      <c r="C371" t="str">
        <f>IFERROR(IF(OR(INDEX(tblTrans[ProductID],370)="",ISNUMBER(SEARCH("ProductID",INDEX(tblTrans[ProductID],370)))),"",INDEX(tblTrans[Location],370)),"")</f>
        <v/>
      </c>
      <c r="D371" t="str">
        <f>IFERROR(IF(OR(INDEX(tblTrans[ProductID],370)="",ISNUMBER(SEARCH("ProductID",INDEX(tblTrans[ProductID],370)))),"",INDEX(tblTrans[Quantity],370)),"")</f>
        <v/>
      </c>
      <c r="E371" t="str">
        <f>IFERROR(IF(OR(INDEX(tblTrans[ProductID],370)="",ISNUMBER(SEARCH("ProductID",INDEX(tblTrans[ProductID],370)))),"",INDEX(tblTrans[Type],370)),"")</f>
        <v/>
      </c>
      <c r="F371" t="str">
        <f>IFERROR(IF(OR(INDEX(tblTrans[ProductID],370)="",ISNUMBER(SEARCH("ProductID",INDEX(tblTrans[ProductID],370)))),"",_xlfn.XLOOKUP(B371,tblProducts[ProductID],tblProducts[ProductName],"")),"")</f>
        <v/>
      </c>
      <c r="G371" t="str">
        <f>IFERROR(IF(OR(INDEX(tblTrans[ProductID],370)="",ISNUMBER(SEARCH("ProductID",INDEX(tblTrans[ProductID],370)))),"",_xlfn.XLOOKUP(B371,tblProducts[ProductID],tblProducts[Category],"")),"")</f>
        <v/>
      </c>
      <c r="H371" t="str">
        <f>IFERROR(IF(OR(INDEX(tblTrans[ProductID],370)="",ISNUMBER(SEARCH("ProductID",INDEX(tblTrans[ProductID],370)))),"",_xlfn.XLOOKUP(B371,tblProducts[ProductID],tblProducts[Supplier],"")),"")</f>
        <v/>
      </c>
      <c r="I371" t="str">
        <f>IFERROR(IF(OR(INDEX(tblTrans[ProductID],370)="",ISNUMBER(SEARCH("ProductID",INDEX(tblTrans[ProductID],370)))),"",D371*_xlfn.XLOOKUP(B371,tblProducts[ProductID],tblProducts[UnitCost],0)),"")</f>
        <v/>
      </c>
    </row>
    <row r="372" spans="1:9" x14ac:dyDescent="0.3">
      <c r="A372" s="5" t="str">
        <f>IFERROR(IF(OR(INDEX(tblTrans[ProductID],371)="",ISNUMBER(SEARCH("ProductID",INDEX(tblTrans[ProductID],371)))),"",INDEX(tblTrans[Date],371)),"")</f>
        <v/>
      </c>
      <c r="B372" t="str">
        <f>IFERROR(IF(OR(INDEX(tblTrans[ProductID],371)="",ISNUMBER(SEARCH("ProductID",INDEX(tblTrans[ProductID],371)))),"",INDEX(tblTrans[ProductID],371)),"")</f>
        <v/>
      </c>
      <c r="C372" t="str">
        <f>IFERROR(IF(OR(INDEX(tblTrans[ProductID],371)="",ISNUMBER(SEARCH("ProductID",INDEX(tblTrans[ProductID],371)))),"",INDEX(tblTrans[Location],371)),"")</f>
        <v/>
      </c>
      <c r="D372" t="str">
        <f>IFERROR(IF(OR(INDEX(tblTrans[ProductID],371)="",ISNUMBER(SEARCH("ProductID",INDEX(tblTrans[ProductID],371)))),"",INDEX(tblTrans[Quantity],371)),"")</f>
        <v/>
      </c>
      <c r="E372" t="str">
        <f>IFERROR(IF(OR(INDEX(tblTrans[ProductID],371)="",ISNUMBER(SEARCH("ProductID",INDEX(tblTrans[ProductID],371)))),"",INDEX(tblTrans[Type],371)),"")</f>
        <v/>
      </c>
      <c r="F372" t="str">
        <f>IFERROR(IF(OR(INDEX(tblTrans[ProductID],371)="",ISNUMBER(SEARCH("ProductID",INDEX(tblTrans[ProductID],371)))),"",_xlfn.XLOOKUP(B372,tblProducts[ProductID],tblProducts[ProductName],"")),"")</f>
        <v/>
      </c>
      <c r="G372" t="str">
        <f>IFERROR(IF(OR(INDEX(tblTrans[ProductID],371)="",ISNUMBER(SEARCH("ProductID",INDEX(tblTrans[ProductID],371)))),"",_xlfn.XLOOKUP(B372,tblProducts[ProductID],tblProducts[Category],"")),"")</f>
        <v/>
      </c>
      <c r="H372" t="str">
        <f>IFERROR(IF(OR(INDEX(tblTrans[ProductID],371)="",ISNUMBER(SEARCH("ProductID",INDEX(tblTrans[ProductID],371)))),"",_xlfn.XLOOKUP(B372,tblProducts[ProductID],tblProducts[Supplier],"")),"")</f>
        <v/>
      </c>
      <c r="I372" t="str">
        <f>IFERROR(IF(OR(INDEX(tblTrans[ProductID],371)="",ISNUMBER(SEARCH("ProductID",INDEX(tblTrans[ProductID],371)))),"",D372*_xlfn.XLOOKUP(B372,tblProducts[ProductID],tblProducts[UnitCost],0)),"")</f>
        <v/>
      </c>
    </row>
    <row r="373" spans="1:9" x14ac:dyDescent="0.3">
      <c r="A373" s="5" t="str">
        <f>IFERROR(IF(OR(INDEX(tblTrans[ProductID],372)="",ISNUMBER(SEARCH("ProductID",INDEX(tblTrans[ProductID],372)))),"",INDEX(tblTrans[Date],372)),"")</f>
        <v/>
      </c>
      <c r="B373" t="str">
        <f>IFERROR(IF(OR(INDEX(tblTrans[ProductID],372)="",ISNUMBER(SEARCH("ProductID",INDEX(tblTrans[ProductID],372)))),"",INDEX(tblTrans[ProductID],372)),"")</f>
        <v/>
      </c>
      <c r="C373" t="str">
        <f>IFERROR(IF(OR(INDEX(tblTrans[ProductID],372)="",ISNUMBER(SEARCH("ProductID",INDEX(tblTrans[ProductID],372)))),"",INDEX(tblTrans[Location],372)),"")</f>
        <v/>
      </c>
      <c r="D373" t="str">
        <f>IFERROR(IF(OR(INDEX(tblTrans[ProductID],372)="",ISNUMBER(SEARCH("ProductID",INDEX(tblTrans[ProductID],372)))),"",INDEX(tblTrans[Quantity],372)),"")</f>
        <v/>
      </c>
      <c r="E373" t="str">
        <f>IFERROR(IF(OR(INDEX(tblTrans[ProductID],372)="",ISNUMBER(SEARCH("ProductID",INDEX(tblTrans[ProductID],372)))),"",INDEX(tblTrans[Type],372)),"")</f>
        <v/>
      </c>
      <c r="F373" t="str">
        <f>IFERROR(IF(OR(INDEX(tblTrans[ProductID],372)="",ISNUMBER(SEARCH("ProductID",INDEX(tblTrans[ProductID],372)))),"",_xlfn.XLOOKUP(B373,tblProducts[ProductID],tblProducts[ProductName],"")),"")</f>
        <v/>
      </c>
      <c r="G373" t="str">
        <f>IFERROR(IF(OR(INDEX(tblTrans[ProductID],372)="",ISNUMBER(SEARCH("ProductID",INDEX(tblTrans[ProductID],372)))),"",_xlfn.XLOOKUP(B373,tblProducts[ProductID],tblProducts[Category],"")),"")</f>
        <v/>
      </c>
      <c r="H373" t="str">
        <f>IFERROR(IF(OR(INDEX(tblTrans[ProductID],372)="",ISNUMBER(SEARCH("ProductID",INDEX(tblTrans[ProductID],372)))),"",_xlfn.XLOOKUP(B373,tblProducts[ProductID],tblProducts[Supplier],"")),"")</f>
        <v/>
      </c>
      <c r="I373" t="str">
        <f>IFERROR(IF(OR(INDEX(tblTrans[ProductID],372)="",ISNUMBER(SEARCH("ProductID",INDEX(tblTrans[ProductID],372)))),"",D373*_xlfn.XLOOKUP(B373,tblProducts[ProductID],tblProducts[UnitCost],0)),"")</f>
        <v/>
      </c>
    </row>
    <row r="374" spans="1:9" x14ac:dyDescent="0.3">
      <c r="A374" s="5" t="str">
        <f>IFERROR(IF(OR(INDEX(tblTrans[ProductID],373)="",ISNUMBER(SEARCH("ProductID",INDEX(tblTrans[ProductID],373)))),"",INDEX(tblTrans[Date],373)),"")</f>
        <v/>
      </c>
      <c r="B374" t="str">
        <f>IFERROR(IF(OR(INDEX(tblTrans[ProductID],373)="",ISNUMBER(SEARCH("ProductID",INDEX(tblTrans[ProductID],373)))),"",INDEX(tblTrans[ProductID],373)),"")</f>
        <v/>
      </c>
      <c r="C374" t="str">
        <f>IFERROR(IF(OR(INDEX(tblTrans[ProductID],373)="",ISNUMBER(SEARCH("ProductID",INDEX(tblTrans[ProductID],373)))),"",INDEX(tblTrans[Location],373)),"")</f>
        <v/>
      </c>
      <c r="D374" t="str">
        <f>IFERROR(IF(OR(INDEX(tblTrans[ProductID],373)="",ISNUMBER(SEARCH("ProductID",INDEX(tblTrans[ProductID],373)))),"",INDEX(tblTrans[Quantity],373)),"")</f>
        <v/>
      </c>
      <c r="E374" t="str">
        <f>IFERROR(IF(OR(INDEX(tblTrans[ProductID],373)="",ISNUMBER(SEARCH("ProductID",INDEX(tblTrans[ProductID],373)))),"",INDEX(tblTrans[Type],373)),"")</f>
        <v/>
      </c>
      <c r="F374" t="str">
        <f>IFERROR(IF(OR(INDEX(tblTrans[ProductID],373)="",ISNUMBER(SEARCH("ProductID",INDEX(tblTrans[ProductID],373)))),"",_xlfn.XLOOKUP(B374,tblProducts[ProductID],tblProducts[ProductName],"")),"")</f>
        <v/>
      </c>
      <c r="G374" t="str">
        <f>IFERROR(IF(OR(INDEX(tblTrans[ProductID],373)="",ISNUMBER(SEARCH("ProductID",INDEX(tblTrans[ProductID],373)))),"",_xlfn.XLOOKUP(B374,tblProducts[ProductID],tblProducts[Category],"")),"")</f>
        <v/>
      </c>
      <c r="H374" t="str">
        <f>IFERROR(IF(OR(INDEX(tblTrans[ProductID],373)="",ISNUMBER(SEARCH("ProductID",INDEX(tblTrans[ProductID],373)))),"",_xlfn.XLOOKUP(B374,tblProducts[ProductID],tblProducts[Supplier],"")),"")</f>
        <v/>
      </c>
      <c r="I374" t="str">
        <f>IFERROR(IF(OR(INDEX(tblTrans[ProductID],373)="",ISNUMBER(SEARCH("ProductID",INDEX(tblTrans[ProductID],373)))),"",D374*_xlfn.XLOOKUP(B374,tblProducts[ProductID],tblProducts[UnitCost],0)),"")</f>
        <v/>
      </c>
    </row>
    <row r="375" spans="1:9" x14ac:dyDescent="0.3">
      <c r="A375" s="5" t="str">
        <f>IFERROR(IF(OR(INDEX(tblTrans[ProductID],374)="",ISNUMBER(SEARCH("ProductID",INDEX(tblTrans[ProductID],374)))),"",INDEX(tblTrans[Date],374)),"")</f>
        <v/>
      </c>
      <c r="B375" t="str">
        <f>IFERROR(IF(OR(INDEX(tblTrans[ProductID],374)="",ISNUMBER(SEARCH("ProductID",INDEX(tblTrans[ProductID],374)))),"",INDEX(tblTrans[ProductID],374)),"")</f>
        <v/>
      </c>
      <c r="C375" t="str">
        <f>IFERROR(IF(OR(INDEX(tblTrans[ProductID],374)="",ISNUMBER(SEARCH("ProductID",INDEX(tblTrans[ProductID],374)))),"",INDEX(tblTrans[Location],374)),"")</f>
        <v/>
      </c>
      <c r="D375" t="str">
        <f>IFERROR(IF(OR(INDEX(tblTrans[ProductID],374)="",ISNUMBER(SEARCH("ProductID",INDEX(tblTrans[ProductID],374)))),"",INDEX(tblTrans[Quantity],374)),"")</f>
        <v/>
      </c>
      <c r="E375" t="str">
        <f>IFERROR(IF(OR(INDEX(tblTrans[ProductID],374)="",ISNUMBER(SEARCH("ProductID",INDEX(tblTrans[ProductID],374)))),"",INDEX(tblTrans[Type],374)),"")</f>
        <v/>
      </c>
      <c r="F375" t="str">
        <f>IFERROR(IF(OR(INDEX(tblTrans[ProductID],374)="",ISNUMBER(SEARCH("ProductID",INDEX(tblTrans[ProductID],374)))),"",_xlfn.XLOOKUP(B375,tblProducts[ProductID],tblProducts[ProductName],"")),"")</f>
        <v/>
      </c>
      <c r="G375" t="str">
        <f>IFERROR(IF(OR(INDEX(tblTrans[ProductID],374)="",ISNUMBER(SEARCH("ProductID",INDEX(tblTrans[ProductID],374)))),"",_xlfn.XLOOKUP(B375,tblProducts[ProductID],tblProducts[Category],"")),"")</f>
        <v/>
      </c>
      <c r="H375" t="str">
        <f>IFERROR(IF(OR(INDEX(tblTrans[ProductID],374)="",ISNUMBER(SEARCH("ProductID",INDEX(tblTrans[ProductID],374)))),"",_xlfn.XLOOKUP(B375,tblProducts[ProductID],tblProducts[Supplier],"")),"")</f>
        <v/>
      </c>
      <c r="I375" t="str">
        <f>IFERROR(IF(OR(INDEX(tblTrans[ProductID],374)="",ISNUMBER(SEARCH("ProductID",INDEX(tblTrans[ProductID],374)))),"",D375*_xlfn.XLOOKUP(B375,tblProducts[ProductID],tblProducts[UnitCost],0)),"")</f>
        <v/>
      </c>
    </row>
    <row r="376" spans="1:9" x14ac:dyDescent="0.3">
      <c r="A376" s="5" t="str">
        <f>IFERROR(IF(OR(INDEX(tblTrans[ProductID],375)="",ISNUMBER(SEARCH("ProductID",INDEX(tblTrans[ProductID],375)))),"",INDEX(tblTrans[Date],375)),"")</f>
        <v/>
      </c>
      <c r="B376" t="str">
        <f>IFERROR(IF(OR(INDEX(tblTrans[ProductID],375)="",ISNUMBER(SEARCH("ProductID",INDEX(tblTrans[ProductID],375)))),"",INDEX(tblTrans[ProductID],375)),"")</f>
        <v/>
      </c>
      <c r="C376" t="str">
        <f>IFERROR(IF(OR(INDEX(tblTrans[ProductID],375)="",ISNUMBER(SEARCH("ProductID",INDEX(tblTrans[ProductID],375)))),"",INDEX(tblTrans[Location],375)),"")</f>
        <v/>
      </c>
      <c r="D376" t="str">
        <f>IFERROR(IF(OR(INDEX(tblTrans[ProductID],375)="",ISNUMBER(SEARCH("ProductID",INDEX(tblTrans[ProductID],375)))),"",INDEX(tblTrans[Quantity],375)),"")</f>
        <v/>
      </c>
      <c r="E376" t="str">
        <f>IFERROR(IF(OR(INDEX(tblTrans[ProductID],375)="",ISNUMBER(SEARCH("ProductID",INDEX(tblTrans[ProductID],375)))),"",INDEX(tblTrans[Type],375)),"")</f>
        <v/>
      </c>
      <c r="F376" t="str">
        <f>IFERROR(IF(OR(INDEX(tblTrans[ProductID],375)="",ISNUMBER(SEARCH("ProductID",INDEX(tblTrans[ProductID],375)))),"",_xlfn.XLOOKUP(B376,tblProducts[ProductID],tblProducts[ProductName],"")),"")</f>
        <v/>
      </c>
      <c r="G376" t="str">
        <f>IFERROR(IF(OR(INDEX(tblTrans[ProductID],375)="",ISNUMBER(SEARCH("ProductID",INDEX(tblTrans[ProductID],375)))),"",_xlfn.XLOOKUP(B376,tblProducts[ProductID],tblProducts[Category],"")),"")</f>
        <v/>
      </c>
      <c r="H376" t="str">
        <f>IFERROR(IF(OR(INDEX(tblTrans[ProductID],375)="",ISNUMBER(SEARCH("ProductID",INDEX(tblTrans[ProductID],375)))),"",_xlfn.XLOOKUP(B376,tblProducts[ProductID],tblProducts[Supplier],"")),"")</f>
        <v/>
      </c>
      <c r="I376" t="str">
        <f>IFERROR(IF(OR(INDEX(tblTrans[ProductID],375)="",ISNUMBER(SEARCH("ProductID",INDEX(tblTrans[ProductID],375)))),"",D376*_xlfn.XLOOKUP(B376,tblProducts[ProductID],tblProducts[UnitCost],0)),"")</f>
        <v/>
      </c>
    </row>
    <row r="377" spans="1:9" x14ac:dyDescent="0.3">
      <c r="A377" s="5" t="str">
        <f>IFERROR(IF(OR(INDEX(tblTrans[ProductID],376)="",ISNUMBER(SEARCH("ProductID",INDEX(tblTrans[ProductID],376)))),"",INDEX(tblTrans[Date],376)),"")</f>
        <v/>
      </c>
      <c r="B377" t="str">
        <f>IFERROR(IF(OR(INDEX(tblTrans[ProductID],376)="",ISNUMBER(SEARCH("ProductID",INDEX(tblTrans[ProductID],376)))),"",INDEX(tblTrans[ProductID],376)),"")</f>
        <v/>
      </c>
      <c r="C377" t="str">
        <f>IFERROR(IF(OR(INDEX(tblTrans[ProductID],376)="",ISNUMBER(SEARCH("ProductID",INDEX(tblTrans[ProductID],376)))),"",INDEX(tblTrans[Location],376)),"")</f>
        <v/>
      </c>
      <c r="D377" t="str">
        <f>IFERROR(IF(OR(INDEX(tblTrans[ProductID],376)="",ISNUMBER(SEARCH("ProductID",INDEX(tblTrans[ProductID],376)))),"",INDEX(tblTrans[Quantity],376)),"")</f>
        <v/>
      </c>
      <c r="E377" t="str">
        <f>IFERROR(IF(OR(INDEX(tblTrans[ProductID],376)="",ISNUMBER(SEARCH("ProductID",INDEX(tblTrans[ProductID],376)))),"",INDEX(tblTrans[Type],376)),"")</f>
        <v/>
      </c>
      <c r="F377" t="str">
        <f>IFERROR(IF(OR(INDEX(tblTrans[ProductID],376)="",ISNUMBER(SEARCH("ProductID",INDEX(tblTrans[ProductID],376)))),"",_xlfn.XLOOKUP(B377,tblProducts[ProductID],tblProducts[ProductName],"")),"")</f>
        <v/>
      </c>
      <c r="G377" t="str">
        <f>IFERROR(IF(OR(INDEX(tblTrans[ProductID],376)="",ISNUMBER(SEARCH("ProductID",INDEX(tblTrans[ProductID],376)))),"",_xlfn.XLOOKUP(B377,tblProducts[ProductID],tblProducts[Category],"")),"")</f>
        <v/>
      </c>
      <c r="H377" t="str">
        <f>IFERROR(IF(OR(INDEX(tblTrans[ProductID],376)="",ISNUMBER(SEARCH("ProductID",INDEX(tblTrans[ProductID],376)))),"",_xlfn.XLOOKUP(B377,tblProducts[ProductID],tblProducts[Supplier],"")),"")</f>
        <v/>
      </c>
      <c r="I377" t="str">
        <f>IFERROR(IF(OR(INDEX(tblTrans[ProductID],376)="",ISNUMBER(SEARCH("ProductID",INDEX(tblTrans[ProductID],376)))),"",D377*_xlfn.XLOOKUP(B377,tblProducts[ProductID],tblProducts[UnitCost],0)),"")</f>
        <v/>
      </c>
    </row>
    <row r="378" spans="1:9" x14ac:dyDescent="0.3">
      <c r="A378" s="5" t="str">
        <f>IFERROR(IF(OR(INDEX(tblTrans[ProductID],377)="",ISNUMBER(SEARCH("ProductID",INDEX(tblTrans[ProductID],377)))),"",INDEX(tblTrans[Date],377)),"")</f>
        <v/>
      </c>
      <c r="B378" t="str">
        <f>IFERROR(IF(OR(INDEX(tblTrans[ProductID],377)="",ISNUMBER(SEARCH("ProductID",INDEX(tblTrans[ProductID],377)))),"",INDEX(tblTrans[ProductID],377)),"")</f>
        <v/>
      </c>
      <c r="C378" t="str">
        <f>IFERROR(IF(OR(INDEX(tblTrans[ProductID],377)="",ISNUMBER(SEARCH("ProductID",INDEX(tblTrans[ProductID],377)))),"",INDEX(tblTrans[Location],377)),"")</f>
        <v/>
      </c>
      <c r="D378" t="str">
        <f>IFERROR(IF(OR(INDEX(tblTrans[ProductID],377)="",ISNUMBER(SEARCH("ProductID",INDEX(tblTrans[ProductID],377)))),"",INDEX(tblTrans[Quantity],377)),"")</f>
        <v/>
      </c>
      <c r="E378" t="str">
        <f>IFERROR(IF(OR(INDEX(tblTrans[ProductID],377)="",ISNUMBER(SEARCH("ProductID",INDEX(tblTrans[ProductID],377)))),"",INDEX(tblTrans[Type],377)),"")</f>
        <v/>
      </c>
      <c r="F378" t="str">
        <f>IFERROR(IF(OR(INDEX(tblTrans[ProductID],377)="",ISNUMBER(SEARCH("ProductID",INDEX(tblTrans[ProductID],377)))),"",_xlfn.XLOOKUP(B378,tblProducts[ProductID],tblProducts[ProductName],"")),"")</f>
        <v/>
      </c>
      <c r="G378" t="str">
        <f>IFERROR(IF(OR(INDEX(tblTrans[ProductID],377)="",ISNUMBER(SEARCH("ProductID",INDEX(tblTrans[ProductID],377)))),"",_xlfn.XLOOKUP(B378,tblProducts[ProductID],tblProducts[Category],"")),"")</f>
        <v/>
      </c>
      <c r="H378" t="str">
        <f>IFERROR(IF(OR(INDEX(tblTrans[ProductID],377)="",ISNUMBER(SEARCH("ProductID",INDEX(tblTrans[ProductID],377)))),"",_xlfn.XLOOKUP(B378,tblProducts[ProductID],tblProducts[Supplier],"")),"")</f>
        <v/>
      </c>
      <c r="I378" t="str">
        <f>IFERROR(IF(OR(INDEX(tblTrans[ProductID],377)="",ISNUMBER(SEARCH("ProductID",INDEX(tblTrans[ProductID],377)))),"",D378*_xlfn.XLOOKUP(B378,tblProducts[ProductID],tblProducts[UnitCost],0)),"")</f>
        <v/>
      </c>
    </row>
    <row r="379" spans="1:9" x14ac:dyDescent="0.3">
      <c r="A379" s="5" t="str">
        <f>IFERROR(IF(OR(INDEX(tblTrans[ProductID],378)="",ISNUMBER(SEARCH("ProductID",INDEX(tblTrans[ProductID],378)))),"",INDEX(tblTrans[Date],378)),"")</f>
        <v/>
      </c>
      <c r="B379" t="str">
        <f>IFERROR(IF(OR(INDEX(tblTrans[ProductID],378)="",ISNUMBER(SEARCH("ProductID",INDEX(tblTrans[ProductID],378)))),"",INDEX(tblTrans[ProductID],378)),"")</f>
        <v/>
      </c>
      <c r="C379" t="str">
        <f>IFERROR(IF(OR(INDEX(tblTrans[ProductID],378)="",ISNUMBER(SEARCH("ProductID",INDEX(tblTrans[ProductID],378)))),"",INDEX(tblTrans[Location],378)),"")</f>
        <v/>
      </c>
      <c r="D379" t="str">
        <f>IFERROR(IF(OR(INDEX(tblTrans[ProductID],378)="",ISNUMBER(SEARCH("ProductID",INDEX(tblTrans[ProductID],378)))),"",INDEX(tblTrans[Quantity],378)),"")</f>
        <v/>
      </c>
      <c r="E379" t="str">
        <f>IFERROR(IF(OR(INDEX(tblTrans[ProductID],378)="",ISNUMBER(SEARCH("ProductID",INDEX(tblTrans[ProductID],378)))),"",INDEX(tblTrans[Type],378)),"")</f>
        <v/>
      </c>
      <c r="F379" t="str">
        <f>IFERROR(IF(OR(INDEX(tblTrans[ProductID],378)="",ISNUMBER(SEARCH("ProductID",INDEX(tblTrans[ProductID],378)))),"",_xlfn.XLOOKUP(B379,tblProducts[ProductID],tblProducts[ProductName],"")),"")</f>
        <v/>
      </c>
      <c r="G379" t="str">
        <f>IFERROR(IF(OR(INDEX(tblTrans[ProductID],378)="",ISNUMBER(SEARCH("ProductID",INDEX(tblTrans[ProductID],378)))),"",_xlfn.XLOOKUP(B379,tblProducts[ProductID],tblProducts[Category],"")),"")</f>
        <v/>
      </c>
      <c r="H379" t="str">
        <f>IFERROR(IF(OR(INDEX(tblTrans[ProductID],378)="",ISNUMBER(SEARCH("ProductID",INDEX(tblTrans[ProductID],378)))),"",_xlfn.XLOOKUP(B379,tblProducts[ProductID],tblProducts[Supplier],"")),"")</f>
        <v/>
      </c>
      <c r="I379" t="str">
        <f>IFERROR(IF(OR(INDEX(tblTrans[ProductID],378)="",ISNUMBER(SEARCH("ProductID",INDEX(tblTrans[ProductID],378)))),"",D379*_xlfn.XLOOKUP(B379,tblProducts[ProductID],tblProducts[UnitCost],0)),"")</f>
        <v/>
      </c>
    </row>
    <row r="380" spans="1:9" x14ac:dyDescent="0.3">
      <c r="A380" s="5" t="str">
        <f>IFERROR(IF(OR(INDEX(tblTrans[ProductID],379)="",ISNUMBER(SEARCH("ProductID",INDEX(tblTrans[ProductID],379)))),"",INDEX(tblTrans[Date],379)),"")</f>
        <v/>
      </c>
      <c r="B380" t="str">
        <f>IFERROR(IF(OR(INDEX(tblTrans[ProductID],379)="",ISNUMBER(SEARCH("ProductID",INDEX(tblTrans[ProductID],379)))),"",INDEX(tblTrans[ProductID],379)),"")</f>
        <v/>
      </c>
      <c r="C380" t="str">
        <f>IFERROR(IF(OR(INDEX(tblTrans[ProductID],379)="",ISNUMBER(SEARCH("ProductID",INDEX(tblTrans[ProductID],379)))),"",INDEX(tblTrans[Location],379)),"")</f>
        <v/>
      </c>
      <c r="D380" t="str">
        <f>IFERROR(IF(OR(INDEX(tblTrans[ProductID],379)="",ISNUMBER(SEARCH("ProductID",INDEX(tblTrans[ProductID],379)))),"",INDEX(tblTrans[Quantity],379)),"")</f>
        <v/>
      </c>
      <c r="E380" t="str">
        <f>IFERROR(IF(OR(INDEX(tblTrans[ProductID],379)="",ISNUMBER(SEARCH("ProductID",INDEX(tblTrans[ProductID],379)))),"",INDEX(tblTrans[Type],379)),"")</f>
        <v/>
      </c>
      <c r="F380" t="str">
        <f>IFERROR(IF(OR(INDEX(tblTrans[ProductID],379)="",ISNUMBER(SEARCH("ProductID",INDEX(tblTrans[ProductID],379)))),"",_xlfn.XLOOKUP(B380,tblProducts[ProductID],tblProducts[ProductName],"")),"")</f>
        <v/>
      </c>
      <c r="G380" t="str">
        <f>IFERROR(IF(OR(INDEX(tblTrans[ProductID],379)="",ISNUMBER(SEARCH("ProductID",INDEX(tblTrans[ProductID],379)))),"",_xlfn.XLOOKUP(B380,tblProducts[ProductID],tblProducts[Category],"")),"")</f>
        <v/>
      </c>
      <c r="H380" t="str">
        <f>IFERROR(IF(OR(INDEX(tblTrans[ProductID],379)="",ISNUMBER(SEARCH("ProductID",INDEX(tblTrans[ProductID],379)))),"",_xlfn.XLOOKUP(B380,tblProducts[ProductID],tblProducts[Supplier],"")),"")</f>
        <v/>
      </c>
      <c r="I380" t="str">
        <f>IFERROR(IF(OR(INDEX(tblTrans[ProductID],379)="",ISNUMBER(SEARCH("ProductID",INDEX(tblTrans[ProductID],379)))),"",D380*_xlfn.XLOOKUP(B380,tblProducts[ProductID],tblProducts[UnitCost],0)),"")</f>
        <v/>
      </c>
    </row>
    <row r="381" spans="1:9" x14ac:dyDescent="0.3">
      <c r="A381" s="5" t="str">
        <f>IFERROR(IF(OR(INDEX(tblTrans[ProductID],380)="",ISNUMBER(SEARCH("ProductID",INDEX(tblTrans[ProductID],380)))),"",INDEX(tblTrans[Date],380)),"")</f>
        <v/>
      </c>
      <c r="B381" t="str">
        <f>IFERROR(IF(OR(INDEX(tblTrans[ProductID],380)="",ISNUMBER(SEARCH("ProductID",INDEX(tblTrans[ProductID],380)))),"",INDEX(tblTrans[ProductID],380)),"")</f>
        <v/>
      </c>
      <c r="C381" t="str">
        <f>IFERROR(IF(OR(INDEX(tblTrans[ProductID],380)="",ISNUMBER(SEARCH("ProductID",INDEX(tblTrans[ProductID],380)))),"",INDEX(tblTrans[Location],380)),"")</f>
        <v/>
      </c>
      <c r="D381" t="str">
        <f>IFERROR(IF(OR(INDEX(tblTrans[ProductID],380)="",ISNUMBER(SEARCH("ProductID",INDEX(tblTrans[ProductID],380)))),"",INDEX(tblTrans[Quantity],380)),"")</f>
        <v/>
      </c>
      <c r="E381" t="str">
        <f>IFERROR(IF(OR(INDEX(tblTrans[ProductID],380)="",ISNUMBER(SEARCH("ProductID",INDEX(tblTrans[ProductID],380)))),"",INDEX(tblTrans[Type],380)),"")</f>
        <v/>
      </c>
      <c r="F381" t="str">
        <f>IFERROR(IF(OR(INDEX(tblTrans[ProductID],380)="",ISNUMBER(SEARCH("ProductID",INDEX(tblTrans[ProductID],380)))),"",_xlfn.XLOOKUP(B381,tblProducts[ProductID],tblProducts[ProductName],"")),"")</f>
        <v/>
      </c>
      <c r="G381" t="str">
        <f>IFERROR(IF(OR(INDEX(tblTrans[ProductID],380)="",ISNUMBER(SEARCH("ProductID",INDEX(tblTrans[ProductID],380)))),"",_xlfn.XLOOKUP(B381,tblProducts[ProductID],tblProducts[Category],"")),"")</f>
        <v/>
      </c>
      <c r="H381" t="str">
        <f>IFERROR(IF(OR(INDEX(tblTrans[ProductID],380)="",ISNUMBER(SEARCH("ProductID",INDEX(tblTrans[ProductID],380)))),"",_xlfn.XLOOKUP(B381,tblProducts[ProductID],tblProducts[Supplier],"")),"")</f>
        <v/>
      </c>
      <c r="I381" t="str">
        <f>IFERROR(IF(OR(INDEX(tblTrans[ProductID],380)="",ISNUMBER(SEARCH("ProductID",INDEX(tblTrans[ProductID],380)))),"",D381*_xlfn.XLOOKUP(B381,tblProducts[ProductID],tblProducts[UnitCost],0)),"")</f>
        <v/>
      </c>
    </row>
    <row r="382" spans="1:9" x14ac:dyDescent="0.3">
      <c r="A382" s="5" t="str">
        <f>IFERROR(IF(OR(INDEX(tblTrans[ProductID],381)="",ISNUMBER(SEARCH("ProductID",INDEX(tblTrans[ProductID],381)))),"",INDEX(tblTrans[Date],381)),"")</f>
        <v/>
      </c>
      <c r="B382" t="str">
        <f>IFERROR(IF(OR(INDEX(tblTrans[ProductID],381)="",ISNUMBER(SEARCH("ProductID",INDEX(tblTrans[ProductID],381)))),"",INDEX(tblTrans[ProductID],381)),"")</f>
        <v/>
      </c>
      <c r="C382" t="str">
        <f>IFERROR(IF(OR(INDEX(tblTrans[ProductID],381)="",ISNUMBER(SEARCH("ProductID",INDEX(tblTrans[ProductID],381)))),"",INDEX(tblTrans[Location],381)),"")</f>
        <v/>
      </c>
      <c r="D382" t="str">
        <f>IFERROR(IF(OR(INDEX(tblTrans[ProductID],381)="",ISNUMBER(SEARCH("ProductID",INDEX(tblTrans[ProductID],381)))),"",INDEX(tblTrans[Quantity],381)),"")</f>
        <v/>
      </c>
      <c r="E382" t="str">
        <f>IFERROR(IF(OR(INDEX(tblTrans[ProductID],381)="",ISNUMBER(SEARCH("ProductID",INDEX(tblTrans[ProductID],381)))),"",INDEX(tblTrans[Type],381)),"")</f>
        <v/>
      </c>
      <c r="F382" t="str">
        <f>IFERROR(IF(OR(INDEX(tblTrans[ProductID],381)="",ISNUMBER(SEARCH("ProductID",INDEX(tblTrans[ProductID],381)))),"",_xlfn.XLOOKUP(B382,tblProducts[ProductID],tblProducts[ProductName],"")),"")</f>
        <v/>
      </c>
      <c r="G382" t="str">
        <f>IFERROR(IF(OR(INDEX(tblTrans[ProductID],381)="",ISNUMBER(SEARCH("ProductID",INDEX(tblTrans[ProductID],381)))),"",_xlfn.XLOOKUP(B382,tblProducts[ProductID],tblProducts[Category],"")),"")</f>
        <v/>
      </c>
      <c r="H382" t="str">
        <f>IFERROR(IF(OR(INDEX(tblTrans[ProductID],381)="",ISNUMBER(SEARCH("ProductID",INDEX(tblTrans[ProductID],381)))),"",_xlfn.XLOOKUP(B382,tblProducts[ProductID],tblProducts[Supplier],"")),"")</f>
        <v/>
      </c>
      <c r="I382" t="str">
        <f>IFERROR(IF(OR(INDEX(tblTrans[ProductID],381)="",ISNUMBER(SEARCH("ProductID",INDEX(tblTrans[ProductID],381)))),"",D382*_xlfn.XLOOKUP(B382,tblProducts[ProductID],tblProducts[UnitCost],0)),"")</f>
        <v/>
      </c>
    </row>
    <row r="383" spans="1:9" x14ac:dyDescent="0.3">
      <c r="A383" s="5" t="str">
        <f>IFERROR(IF(OR(INDEX(tblTrans[ProductID],382)="",ISNUMBER(SEARCH("ProductID",INDEX(tblTrans[ProductID],382)))),"",INDEX(tblTrans[Date],382)),"")</f>
        <v/>
      </c>
      <c r="B383" t="str">
        <f>IFERROR(IF(OR(INDEX(tblTrans[ProductID],382)="",ISNUMBER(SEARCH("ProductID",INDEX(tblTrans[ProductID],382)))),"",INDEX(tblTrans[ProductID],382)),"")</f>
        <v/>
      </c>
      <c r="C383" t="str">
        <f>IFERROR(IF(OR(INDEX(tblTrans[ProductID],382)="",ISNUMBER(SEARCH("ProductID",INDEX(tblTrans[ProductID],382)))),"",INDEX(tblTrans[Location],382)),"")</f>
        <v/>
      </c>
      <c r="D383" t="str">
        <f>IFERROR(IF(OR(INDEX(tblTrans[ProductID],382)="",ISNUMBER(SEARCH("ProductID",INDEX(tblTrans[ProductID],382)))),"",INDEX(tblTrans[Quantity],382)),"")</f>
        <v/>
      </c>
      <c r="E383" t="str">
        <f>IFERROR(IF(OR(INDEX(tblTrans[ProductID],382)="",ISNUMBER(SEARCH("ProductID",INDEX(tblTrans[ProductID],382)))),"",INDEX(tblTrans[Type],382)),"")</f>
        <v/>
      </c>
      <c r="F383" t="str">
        <f>IFERROR(IF(OR(INDEX(tblTrans[ProductID],382)="",ISNUMBER(SEARCH("ProductID",INDEX(tblTrans[ProductID],382)))),"",_xlfn.XLOOKUP(B383,tblProducts[ProductID],tblProducts[ProductName],"")),"")</f>
        <v/>
      </c>
      <c r="G383" t="str">
        <f>IFERROR(IF(OR(INDEX(tblTrans[ProductID],382)="",ISNUMBER(SEARCH("ProductID",INDEX(tblTrans[ProductID],382)))),"",_xlfn.XLOOKUP(B383,tblProducts[ProductID],tblProducts[Category],"")),"")</f>
        <v/>
      </c>
      <c r="H383" t="str">
        <f>IFERROR(IF(OR(INDEX(tblTrans[ProductID],382)="",ISNUMBER(SEARCH("ProductID",INDEX(tblTrans[ProductID],382)))),"",_xlfn.XLOOKUP(B383,tblProducts[ProductID],tblProducts[Supplier],"")),"")</f>
        <v/>
      </c>
      <c r="I383" t="str">
        <f>IFERROR(IF(OR(INDEX(tblTrans[ProductID],382)="",ISNUMBER(SEARCH("ProductID",INDEX(tblTrans[ProductID],382)))),"",D383*_xlfn.XLOOKUP(B383,tblProducts[ProductID],tblProducts[UnitCost],0)),"")</f>
        <v/>
      </c>
    </row>
    <row r="384" spans="1:9" x14ac:dyDescent="0.3">
      <c r="A384" s="5" t="str">
        <f>IFERROR(IF(OR(INDEX(tblTrans[ProductID],383)="",ISNUMBER(SEARCH("ProductID",INDEX(tblTrans[ProductID],383)))),"",INDEX(tblTrans[Date],383)),"")</f>
        <v/>
      </c>
      <c r="B384" t="str">
        <f>IFERROR(IF(OR(INDEX(tblTrans[ProductID],383)="",ISNUMBER(SEARCH("ProductID",INDEX(tblTrans[ProductID],383)))),"",INDEX(tblTrans[ProductID],383)),"")</f>
        <v/>
      </c>
      <c r="C384" t="str">
        <f>IFERROR(IF(OR(INDEX(tblTrans[ProductID],383)="",ISNUMBER(SEARCH("ProductID",INDEX(tblTrans[ProductID],383)))),"",INDEX(tblTrans[Location],383)),"")</f>
        <v/>
      </c>
      <c r="D384" t="str">
        <f>IFERROR(IF(OR(INDEX(tblTrans[ProductID],383)="",ISNUMBER(SEARCH("ProductID",INDEX(tblTrans[ProductID],383)))),"",INDEX(tblTrans[Quantity],383)),"")</f>
        <v/>
      </c>
      <c r="E384" t="str">
        <f>IFERROR(IF(OR(INDEX(tblTrans[ProductID],383)="",ISNUMBER(SEARCH("ProductID",INDEX(tblTrans[ProductID],383)))),"",INDEX(tblTrans[Type],383)),"")</f>
        <v/>
      </c>
      <c r="F384" t="str">
        <f>IFERROR(IF(OR(INDEX(tblTrans[ProductID],383)="",ISNUMBER(SEARCH("ProductID",INDEX(tblTrans[ProductID],383)))),"",_xlfn.XLOOKUP(B384,tblProducts[ProductID],tblProducts[ProductName],"")),"")</f>
        <v/>
      </c>
      <c r="G384" t="str">
        <f>IFERROR(IF(OR(INDEX(tblTrans[ProductID],383)="",ISNUMBER(SEARCH("ProductID",INDEX(tblTrans[ProductID],383)))),"",_xlfn.XLOOKUP(B384,tblProducts[ProductID],tblProducts[Category],"")),"")</f>
        <v/>
      </c>
      <c r="H384" t="str">
        <f>IFERROR(IF(OR(INDEX(tblTrans[ProductID],383)="",ISNUMBER(SEARCH("ProductID",INDEX(tblTrans[ProductID],383)))),"",_xlfn.XLOOKUP(B384,tblProducts[ProductID],tblProducts[Supplier],"")),"")</f>
        <v/>
      </c>
      <c r="I384" t="str">
        <f>IFERROR(IF(OR(INDEX(tblTrans[ProductID],383)="",ISNUMBER(SEARCH("ProductID",INDEX(tblTrans[ProductID],383)))),"",D384*_xlfn.XLOOKUP(B384,tblProducts[ProductID],tblProducts[UnitCost],0)),"")</f>
        <v/>
      </c>
    </row>
    <row r="385" spans="1:9" x14ac:dyDescent="0.3">
      <c r="A385" s="5" t="str">
        <f>IFERROR(IF(OR(INDEX(tblTrans[ProductID],384)="",ISNUMBER(SEARCH("ProductID",INDEX(tblTrans[ProductID],384)))),"",INDEX(tblTrans[Date],384)),"")</f>
        <v/>
      </c>
      <c r="B385" t="str">
        <f>IFERROR(IF(OR(INDEX(tblTrans[ProductID],384)="",ISNUMBER(SEARCH("ProductID",INDEX(tblTrans[ProductID],384)))),"",INDEX(tblTrans[ProductID],384)),"")</f>
        <v/>
      </c>
      <c r="C385" t="str">
        <f>IFERROR(IF(OR(INDEX(tblTrans[ProductID],384)="",ISNUMBER(SEARCH("ProductID",INDEX(tblTrans[ProductID],384)))),"",INDEX(tblTrans[Location],384)),"")</f>
        <v/>
      </c>
      <c r="D385" t="str">
        <f>IFERROR(IF(OR(INDEX(tblTrans[ProductID],384)="",ISNUMBER(SEARCH("ProductID",INDEX(tblTrans[ProductID],384)))),"",INDEX(tblTrans[Quantity],384)),"")</f>
        <v/>
      </c>
      <c r="E385" t="str">
        <f>IFERROR(IF(OR(INDEX(tblTrans[ProductID],384)="",ISNUMBER(SEARCH("ProductID",INDEX(tblTrans[ProductID],384)))),"",INDEX(tblTrans[Type],384)),"")</f>
        <v/>
      </c>
      <c r="F385" t="str">
        <f>IFERROR(IF(OR(INDEX(tblTrans[ProductID],384)="",ISNUMBER(SEARCH("ProductID",INDEX(tblTrans[ProductID],384)))),"",_xlfn.XLOOKUP(B385,tblProducts[ProductID],tblProducts[ProductName],"")),"")</f>
        <v/>
      </c>
      <c r="G385" t="str">
        <f>IFERROR(IF(OR(INDEX(tblTrans[ProductID],384)="",ISNUMBER(SEARCH("ProductID",INDEX(tblTrans[ProductID],384)))),"",_xlfn.XLOOKUP(B385,tblProducts[ProductID],tblProducts[Category],"")),"")</f>
        <v/>
      </c>
      <c r="H385" t="str">
        <f>IFERROR(IF(OR(INDEX(tblTrans[ProductID],384)="",ISNUMBER(SEARCH("ProductID",INDEX(tblTrans[ProductID],384)))),"",_xlfn.XLOOKUP(B385,tblProducts[ProductID],tblProducts[Supplier],"")),"")</f>
        <v/>
      </c>
      <c r="I385" t="str">
        <f>IFERROR(IF(OR(INDEX(tblTrans[ProductID],384)="",ISNUMBER(SEARCH("ProductID",INDEX(tblTrans[ProductID],384)))),"",D385*_xlfn.XLOOKUP(B385,tblProducts[ProductID],tblProducts[UnitCost],0)),"")</f>
        <v/>
      </c>
    </row>
    <row r="386" spans="1:9" x14ac:dyDescent="0.3">
      <c r="A386" s="5" t="str">
        <f>IFERROR(IF(OR(INDEX(tblTrans[ProductID],385)="",ISNUMBER(SEARCH("ProductID",INDEX(tblTrans[ProductID],385)))),"",INDEX(tblTrans[Date],385)),"")</f>
        <v/>
      </c>
      <c r="B386" t="str">
        <f>IFERROR(IF(OR(INDEX(tblTrans[ProductID],385)="",ISNUMBER(SEARCH("ProductID",INDEX(tblTrans[ProductID],385)))),"",INDEX(tblTrans[ProductID],385)),"")</f>
        <v/>
      </c>
      <c r="C386" t="str">
        <f>IFERROR(IF(OR(INDEX(tblTrans[ProductID],385)="",ISNUMBER(SEARCH("ProductID",INDEX(tblTrans[ProductID],385)))),"",INDEX(tblTrans[Location],385)),"")</f>
        <v/>
      </c>
      <c r="D386" t="str">
        <f>IFERROR(IF(OR(INDEX(tblTrans[ProductID],385)="",ISNUMBER(SEARCH("ProductID",INDEX(tblTrans[ProductID],385)))),"",INDEX(tblTrans[Quantity],385)),"")</f>
        <v/>
      </c>
      <c r="E386" t="str">
        <f>IFERROR(IF(OR(INDEX(tblTrans[ProductID],385)="",ISNUMBER(SEARCH("ProductID",INDEX(tblTrans[ProductID],385)))),"",INDEX(tblTrans[Type],385)),"")</f>
        <v/>
      </c>
      <c r="F386" t="str">
        <f>IFERROR(IF(OR(INDEX(tblTrans[ProductID],385)="",ISNUMBER(SEARCH("ProductID",INDEX(tblTrans[ProductID],385)))),"",_xlfn.XLOOKUP(B386,tblProducts[ProductID],tblProducts[ProductName],"")),"")</f>
        <v/>
      </c>
      <c r="G386" t="str">
        <f>IFERROR(IF(OR(INDEX(tblTrans[ProductID],385)="",ISNUMBER(SEARCH("ProductID",INDEX(tblTrans[ProductID],385)))),"",_xlfn.XLOOKUP(B386,tblProducts[ProductID],tblProducts[Category],"")),"")</f>
        <v/>
      </c>
      <c r="H386" t="str">
        <f>IFERROR(IF(OR(INDEX(tblTrans[ProductID],385)="",ISNUMBER(SEARCH("ProductID",INDEX(tblTrans[ProductID],385)))),"",_xlfn.XLOOKUP(B386,tblProducts[ProductID],tblProducts[Supplier],"")),"")</f>
        <v/>
      </c>
      <c r="I386" t="str">
        <f>IFERROR(IF(OR(INDEX(tblTrans[ProductID],385)="",ISNUMBER(SEARCH("ProductID",INDEX(tblTrans[ProductID],385)))),"",D386*_xlfn.XLOOKUP(B386,tblProducts[ProductID],tblProducts[UnitCost],0)),"")</f>
        <v/>
      </c>
    </row>
    <row r="387" spans="1:9" x14ac:dyDescent="0.3">
      <c r="A387" s="5" t="str">
        <f>IFERROR(IF(OR(INDEX(tblTrans[ProductID],386)="",ISNUMBER(SEARCH("ProductID",INDEX(tblTrans[ProductID],386)))),"",INDEX(tblTrans[Date],386)),"")</f>
        <v/>
      </c>
      <c r="B387" t="str">
        <f>IFERROR(IF(OR(INDEX(tblTrans[ProductID],386)="",ISNUMBER(SEARCH("ProductID",INDEX(tblTrans[ProductID],386)))),"",INDEX(tblTrans[ProductID],386)),"")</f>
        <v/>
      </c>
      <c r="C387" t="str">
        <f>IFERROR(IF(OR(INDEX(tblTrans[ProductID],386)="",ISNUMBER(SEARCH("ProductID",INDEX(tblTrans[ProductID],386)))),"",INDEX(tblTrans[Location],386)),"")</f>
        <v/>
      </c>
      <c r="D387" t="str">
        <f>IFERROR(IF(OR(INDEX(tblTrans[ProductID],386)="",ISNUMBER(SEARCH("ProductID",INDEX(tblTrans[ProductID],386)))),"",INDEX(tblTrans[Quantity],386)),"")</f>
        <v/>
      </c>
      <c r="E387" t="str">
        <f>IFERROR(IF(OR(INDEX(tblTrans[ProductID],386)="",ISNUMBER(SEARCH("ProductID",INDEX(tblTrans[ProductID],386)))),"",INDEX(tblTrans[Type],386)),"")</f>
        <v/>
      </c>
      <c r="F387" t="str">
        <f>IFERROR(IF(OR(INDEX(tblTrans[ProductID],386)="",ISNUMBER(SEARCH("ProductID",INDEX(tblTrans[ProductID],386)))),"",_xlfn.XLOOKUP(B387,tblProducts[ProductID],tblProducts[ProductName],"")),"")</f>
        <v/>
      </c>
      <c r="G387" t="str">
        <f>IFERROR(IF(OR(INDEX(tblTrans[ProductID],386)="",ISNUMBER(SEARCH("ProductID",INDEX(tblTrans[ProductID],386)))),"",_xlfn.XLOOKUP(B387,tblProducts[ProductID],tblProducts[Category],"")),"")</f>
        <v/>
      </c>
      <c r="H387" t="str">
        <f>IFERROR(IF(OR(INDEX(tblTrans[ProductID],386)="",ISNUMBER(SEARCH("ProductID",INDEX(tblTrans[ProductID],386)))),"",_xlfn.XLOOKUP(B387,tblProducts[ProductID],tblProducts[Supplier],"")),"")</f>
        <v/>
      </c>
      <c r="I387" t="str">
        <f>IFERROR(IF(OR(INDEX(tblTrans[ProductID],386)="",ISNUMBER(SEARCH("ProductID",INDEX(tblTrans[ProductID],386)))),"",D387*_xlfn.XLOOKUP(B387,tblProducts[ProductID],tblProducts[UnitCost],0)),"")</f>
        <v/>
      </c>
    </row>
    <row r="388" spans="1:9" x14ac:dyDescent="0.3">
      <c r="A388" s="5" t="str">
        <f>IFERROR(IF(OR(INDEX(tblTrans[ProductID],387)="",ISNUMBER(SEARCH("ProductID",INDEX(tblTrans[ProductID],387)))),"",INDEX(tblTrans[Date],387)),"")</f>
        <v/>
      </c>
      <c r="B388" t="str">
        <f>IFERROR(IF(OR(INDEX(tblTrans[ProductID],387)="",ISNUMBER(SEARCH("ProductID",INDEX(tblTrans[ProductID],387)))),"",INDEX(tblTrans[ProductID],387)),"")</f>
        <v/>
      </c>
      <c r="C388" t="str">
        <f>IFERROR(IF(OR(INDEX(tblTrans[ProductID],387)="",ISNUMBER(SEARCH("ProductID",INDEX(tblTrans[ProductID],387)))),"",INDEX(tblTrans[Location],387)),"")</f>
        <v/>
      </c>
      <c r="D388" t="str">
        <f>IFERROR(IF(OR(INDEX(tblTrans[ProductID],387)="",ISNUMBER(SEARCH("ProductID",INDEX(tblTrans[ProductID],387)))),"",INDEX(tblTrans[Quantity],387)),"")</f>
        <v/>
      </c>
      <c r="E388" t="str">
        <f>IFERROR(IF(OR(INDEX(tblTrans[ProductID],387)="",ISNUMBER(SEARCH("ProductID",INDEX(tblTrans[ProductID],387)))),"",INDEX(tblTrans[Type],387)),"")</f>
        <v/>
      </c>
      <c r="F388" t="str">
        <f>IFERROR(IF(OR(INDEX(tblTrans[ProductID],387)="",ISNUMBER(SEARCH("ProductID",INDEX(tblTrans[ProductID],387)))),"",_xlfn.XLOOKUP(B388,tblProducts[ProductID],tblProducts[ProductName],"")),"")</f>
        <v/>
      </c>
      <c r="G388" t="str">
        <f>IFERROR(IF(OR(INDEX(tblTrans[ProductID],387)="",ISNUMBER(SEARCH("ProductID",INDEX(tblTrans[ProductID],387)))),"",_xlfn.XLOOKUP(B388,tblProducts[ProductID],tblProducts[Category],"")),"")</f>
        <v/>
      </c>
      <c r="H388" t="str">
        <f>IFERROR(IF(OR(INDEX(tblTrans[ProductID],387)="",ISNUMBER(SEARCH("ProductID",INDEX(tblTrans[ProductID],387)))),"",_xlfn.XLOOKUP(B388,tblProducts[ProductID],tblProducts[Supplier],"")),"")</f>
        <v/>
      </c>
      <c r="I388" t="str">
        <f>IFERROR(IF(OR(INDEX(tblTrans[ProductID],387)="",ISNUMBER(SEARCH("ProductID",INDEX(tblTrans[ProductID],387)))),"",D388*_xlfn.XLOOKUP(B388,tblProducts[ProductID],tblProducts[UnitCost],0)),"")</f>
        <v/>
      </c>
    </row>
    <row r="389" spans="1:9" x14ac:dyDescent="0.3">
      <c r="A389" s="5" t="str">
        <f>IFERROR(IF(OR(INDEX(tblTrans[ProductID],388)="",ISNUMBER(SEARCH("ProductID",INDEX(tblTrans[ProductID],388)))),"",INDEX(tblTrans[Date],388)),"")</f>
        <v/>
      </c>
      <c r="B389" t="str">
        <f>IFERROR(IF(OR(INDEX(tblTrans[ProductID],388)="",ISNUMBER(SEARCH("ProductID",INDEX(tblTrans[ProductID],388)))),"",INDEX(tblTrans[ProductID],388)),"")</f>
        <v/>
      </c>
      <c r="C389" t="str">
        <f>IFERROR(IF(OR(INDEX(tblTrans[ProductID],388)="",ISNUMBER(SEARCH("ProductID",INDEX(tblTrans[ProductID],388)))),"",INDEX(tblTrans[Location],388)),"")</f>
        <v/>
      </c>
      <c r="D389" t="str">
        <f>IFERROR(IF(OR(INDEX(tblTrans[ProductID],388)="",ISNUMBER(SEARCH("ProductID",INDEX(tblTrans[ProductID],388)))),"",INDEX(tblTrans[Quantity],388)),"")</f>
        <v/>
      </c>
      <c r="E389" t="str">
        <f>IFERROR(IF(OR(INDEX(tblTrans[ProductID],388)="",ISNUMBER(SEARCH("ProductID",INDEX(tblTrans[ProductID],388)))),"",INDEX(tblTrans[Type],388)),"")</f>
        <v/>
      </c>
      <c r="F389" t="str">
        <f>IFERROR(IF(OR(INDEX(tblTrans[ProductID],388)="",ISNUMBER(SEARCH("ProductID",INDEX(tblTrans[ProductID],388)))),"",_xlfn.XLOOKUP(B389,tblProducts[ProductID],tblProducts[ProductName],"")),"")</f>
        <v/>
      </c>
      <c r="G389" t="str">
        <f>IFERROR(IF(OR(INDEX(tblTrans[ProductID],388)="",ISNUMBER(SEARCH("ProductID",INDEX(tblTrans[ProductID],388)))),"",_xlfn.XLOOKUP(B389,tblProducts[ProductID],tblProducts[Category],"")),"")</f>
        <v/>
      </c>
      <c r="H389" t="str">
        <f>IFERROR(IF(OR(INDEX(tblTrans[ProductID],388)="",ISNUMBER(SEARCH("ProductID",INDEX(tblTrans[ProductID],388)))),"",_xlfn.XLOOKUP(B389,tblProducts[ProductID],tblProducts[Supplier],"")),"")</f>
        <v/>
      </c>
      <c r="I389" t="str">
        <f>IFERROR(IF(OR(INDEX(tblTrans[ProductID],388)="",ISNUMBER(SEARCH("ProductID",INDEX(tblTrans[ProductID],388)))),"",D389*_xlfn.XLOOKUP(B389,tblProducts[ProductID],tblProducts[UnitCost],0)),"")</f>
        <v/>
      </c>
    </row>
    <row r="390" spans="1:9" x14ac:dyDescent="0.3">
      <c r="A390" s="5" t="str">
        <f>IFERROR(IF(OR(INDEX(tblTrans[ProductID],389)="",ISNUMBER(SEARCH("ProductID",INDEX(tblTrans[ProductID],389)))),"",INDEX(tblTrans[Date],389)),"")</f>
        <v/>
      </c>
      <c r="B390" t="str">
        <f>IFERROR(IF(OR(INDEX(tblTrans[ProductID],389)="",ISNUMBER(SEARCH("ProductID",INDEX(tblTrans[ProductID],389)))),"",INDEX(tblTrans[ProductID],389)),"")</f>
        <v/>
      </c>
      <c r="C390" t="str">
        <f>IFERROR(IF(OR(INDEX(tblTrans[ProductID],389)="",ISNUMBER(SEARCH("ProductID",INDEX(tblTrans[ProductID],389)))),"",INDEX(tblTrans[Location],389)),"")</f>
        <v/>
      </c>
      <c r="D390" t="str">
        <f>IFERROR(IF(OR(INDEX(tblTrans[ProductID],389)="",ISNUMBER(SEARCH("ProductID",INDEX(tblTrans[ProductID],389)))),"",INDEX(tblTrans[Quantity],389)),"")</f>
        <v/>
      </c>
      <c r="E390" t="str">
        <f>IFERROR(IF(OR(INDEX(tblTrans[ProductID],389)="",ISNUMBER(SEARCH("ProductID",INDEX(tblTrans[ProductID],389)))),"",INDEX(tblTrans[Type],389)),"")</f>
        <v/>
      </c>
      <c r="F390" t="str">
        <f>IFERROR(IF(OR(INDEX(tblTrans[ProductID],389)="",ISNUMBER(SEARCH("ProductID",INDEX(tblTrans[ProductID],389)))),"",_xlfn.XLOOKUP(B390,tblProducts[ProductID],tblProducts[ProductName],"")),"")</f>
        <v/>
      </c>
      <c r="G390" t="str">
        <f>IFERROR(IF(OR(INDEX(tblTrans[ProductID],389)="",ISNUMBER(SEARCH("ProductID",INDEX(tblTrans[ProductID],389)))),"",_xlfn.XLOOKUP(B390,tblProducts[ProductID],tblProducts[Category],"")),"")</f>
        <v/>
      </c>
      <c r="H390" t="str">
        <f>IFERROR(IF(OR(INDEX(tblTrans[ProductID],389)="",ISNUMBER(SEARCH("ProductID",INDEX(tblTrans[ProductID],389)))),"",_xlfn.XLOOKUP(B390,tblProducts[ProductID],tblProducts[Supplier],"")),"")</f>
        <v/>
      </c>
      <c r="I390" t="str">
        <f>IFERROR(IF(OR(INDEX(tblTrans[ProductID],389)="",ISNUMBER(SEARCH("ProductID",INDEX(tblTrans[ProductID],389)))),"",D390*_xlfn.XLOOKUP(B390,tblProducts[ProductID],tblProducts[UnitCost],0)),"")</f>
        <v/>
      </c>
    </row>
    <row r="391" spans="1:9" x14ac:dyDescent="0.3">
      <c r="A391" s="5" t="str">
        <f>IFERROR(IF(OR(INDEX(tblTrans[ProductID],390)="",ISNUMBER(SEARCH("ProductID",INDEX(tblTrans[ProductID],390)))),"",INDEX(tblTrans[Date],390)),"")</f>
        <v/>
      </c>
      <c r="B391" t="str">
        <f>IFERROR(IF(OR(INDEX(tblTrans[ProductID],390)="",ISNUMBER(SEARCH("ProductID",INDEX(tblTrans[ProductID],390)))),"",INDEX(tblTrans[ProductID],390)),"")</f>
        <v/>
      </c>
      <c r="C391" t="str">
        <f>IFERROR(IF(OR(INDEX(tblTrans[ProductID],390)="",ISNUMBER(SEARCH("ProductID",INDEX(tblTrans[ProductID],390)))),"",INDEX(tblTrans[Location],390)),"")</f>
        <v/>
      </c>
      <c r="D391" t="str">
        <f>IFERROR(IF(OR(INDEX(tblTrans[ProductID],390)="",ISNUMBER(SEARCH("ProductID",INDEX(tblTrans[ProductID],390)))),"",INDEX(tblTrans[Quantity],390)),"")</f>
        <v/>
      </c>
      <c r="E391" t="str">
        <f>IFERROR(IF(OR(INDEX(tblTrans[ProductID],390)="",ISNUMBER(SEARCH("ProductID",INDEX(tblTrans[ProductID],390)))),"",INDEX(tblTrans[Type],390)),"")</f>
        <v/>
      </c>
      <c r="F391" t="str">
        <f>IFERROR(IF(OR(INDEX(tblTrans[ProductID],390)="",ISNUMBER(SEARCH("ProductID",INDEX(tblTrans[ProductID],390)))),"",_xlfn.XLOOKUP(B391,tblProducts[ProductID],tblProducts[ProductName],"")),"")</f>
        <v/>
      </c>
      <c r="G391" t="str">
        <f>IFERROR(IF(OR(INDEX(tblTrans[ProductID],390)="",ISNUMBER(SEARCH("ProductID",INDEX(tblTrans[ProductID],390)))),"",_xlfn.XLOOKUP(B391,tblProducts[ProductID],tblProducts[Category],"")),"")</f>
        <v/>
      </c>
      <c r="H391" t="str">
        <f>IFERROR(IF(OR(INDEX(tblTrans[ProductID],390)="",ISNUMBER(SEARCH("ProductID",INDEX(tblTrans[ProductID],390)))),"",_xlfn.XLOOKUP(B391,tblProducts[ProductID],tblProducts[Supplier],"")),"")</f>
        <v/>
      </c>
      <c r="I391" t="str">
        <f>IFERROR(IF(OR(INDEX(tblTrans[ProductID],390)="",ISNUMBER(SEARCH("ProductID",INDEX(tblTrans[ProductID],390)))),"",D391*_xlfn.XLOOKUP(B391,tblProducts[ProductID],tblProducts[UnitCost],0)),"")</f>
        <v/>
      </c>
    </row>
    <row r="392" spans="1:9" x14ac:dyDescent="0.3">
      <c r="A392" s="5" t="str">
        <f>IFERROR(IF(OR(INDEX(tblTrans[ProductID],391)="",ISNUMBER(SEARCH("ProductID",INDEX(tblTrans[ProductID],391)))),"",INDEX(tblTrans[Date],391)),"")</f>
        <v/>
      </c>
      <c r="B392" t="str">
        <f>IFERROR(IF(OR(INDEX(tblTrans[ProductID],391)="",ISNUMBER(SEARCH("ProductID",INDEX(tblTrans[ProductID],391)))),"",INDEX(tblTrans[ProductID],391)),"")</f>
        <v/>
      </c>
      <c r="C392" t="str">
        <f>IFERROR(IF(OR(INDEX(tblTrans[ProductID],391)="",ISNUMBER(SEARCH("ProductID",INDEX(tblTrans[ProductID],391)))),"",INDEX(tblTrans[Location],391)),"")</f>
        <v/>
      </c>
      <c r="D392" t="str">
        <f>IFERROR(IF(OR(INDEX(tblTrans[ProductID],391)="",ISNUMBER(SEARCH("ProductID",INDEX(tblTrans[ProductID],391)))),"",INDEX(tblTrans[Quantity],391)),"")</f>
        <v/>
      </c>
      <c r="E392" t="str">
        <f>IFERROR(IF(OR(INDEX(tblTrans[ProductID],391)="",ISNUMBER(SEARCH("ProductID",INDEX(tblTrans[ProductID],391)))),"",INDEX(tblTrans[Type],391)),"")</f>
        <v/>
      </c>
      <c r="F392" t="str">
        <f>IFERROR(IF(OR(INDEX(tblTrans[ProductID],391)="",ISNUMBER(SEARCH("ProductID",INDEX(tblTrans[ProductID],391)))),"",_xlfn.XLOOKUP(B392,tblProducts[ProductID],tblProducts[ProductName],"")),"")</f>
        <v/>
      </c>
      <c r="G392" t="str">
        <f>IFERROR(IF(OR(INDEX(tblTrans[ProductID],391)="",ISNUMBER(SEARCH("ProductID",INDEX(tblTrans[ProductID],391)))),"",_xlfn.XLOOKUP(B392,tblProducts[ProductID],tblProducts[Category],"")),"")</f>
        <v/>
      </c>
      <c r="H392" t="str">
        <f>IFERROR(IF(OR(INDEX(tblTrans[ProductID],391)="",ISNUMBER(SEARCH("ProductID",INDEX(tblTrans[ProductID],391)))),"",_xlfn.XLOOKUP(B392,tblProducts[ProductID],tblProducts[Supplier],"")),"")</f>
        <v/>
      </c>
      <c r="I392" t="str">
        <f>IFERROR(IF(OR(INDEX(tblTrans[ProductID],391)="",ISNUMBER(SEARCH("ProductID",INDEX(tblTrans[ProductID],391)))),"",D392*_xlfn.XLOOKUP(B392,tblProducts[ProductID],tblProducts[UnitCost],0)),"")</f>
        <v/>
      </c>
    </row>
    <row r="393" spans="1:9" x14ac:dyDescent="0.3">
      <c r="A393" s="5" t="str">
        <f>IFERROR(IF(OR(INDEX(tblTrans[ProductID],392)="",ISNUMBER(SEARCH("ProductID",INDEX(tblTrans[ProductID],392)))),"",INDEX(tblTrans[Date],392)),"")</f>
        <v/>
      </c>
      <c r="B393" t="str">
        <f>IFERROR(IF(OR(INDEX(tblTrans[ProductID],392)="",ISNUMBER(SEARCH("ProductID",INDEX(tblTrans[ProductID],392)))),"",INDEX(tblTrans[ProductID],392)),"")</f>
        <v/>
      </c>
      <c r="C393" t="str">
        <f>IFERROR(IF(OR(INDEX(tblTrans[ProductID],392)="",ISNUMBER(SEARCH("ProductID",INDEX(tblTrans[ProductID],392)))),"",INDEX(tblTrans[Location],392)),"")</f>
        <v/>
      </c>
      <c r="D393" t="str">
        <f>IFERROR(IF(OR(INDEX(tblTrans[ProductID],392)="",ISNUMBER(SEARCH("ProductID",INDEX(tblTrans[ProductID],392)))),"",INDEX(tblTrans[Quantity],392)),"")</f>
        <v/>
      </c>
      <c r="E393" t="str">
        <f>IFERROR(IF(OR(INDEX(tblTrans[ProductID],392)="",ISNUMBER(SEARCH("ProductID",INDEX(tblTrans[ProductID],392)))),"",INDEX(tblTrans[Type],392)),"")</f>
        <v/>
      </c>
      <c r="F393" t="str">
        <f>IFERROR(IF(OR(INDEX(tblTrans[ProductID],392)="",ISNUMBER(SEARCH("ProductID",INDEX(tblTrans[ProductID],392)))),"",_xlfn.XLOOKUP(B393,tblProducts[ProductID],tblProducts[ProductName],"")),"")</f>
        <v/>
      </c>
      <c r="G393" t="str">
        <f>IFERROR(IF(OR(INDEX(tblTrans[ProductID],392)="",ISNUMBER(SEARCH("ProductID",INDEX(tblTrans[ProductID],392)))),"",_xlfn.XLOOKUP(B393,tblProducts[ProductID],tblProducts[Category],"")),"")</f>
        <v/>
      </c>
      <c r="H393" t="str">
        <f>IFERROR(IF(OR(INDEX(tblTrans[ProductID],392)="",ISNUMBER(SEARCH("ProductID",INDEX(tblTrans[ProductID],392)))),"",_xlfn.XLOOKUP(B393,tblProducts[ProductID],tblProducts[Supplier],"")),"")</f>
        <v/>
      </c>
      <c r="I393" t="str">
        <f>IFERROR(IF(OR(INDEX(tblTrans[ProductID],392)="",ISNUMBER(SEARCH("ProductID",INDEX(tblTrans[ProductID],392)))),"",D393*_xlfn.XLOOKUP(B393,tblProducts[ProductID],tblProducts[UnitCost],0)),"")</f>
        <v/>
      </c>
    </row>
    <row r="394" spans="1:9" x14ac:dyDescent="0.3">
      <c r="A394" s="5" t="str">
        <f>IFERROR(IF(OR(INDEX(tblTrans[ProductID],393)="",ISNUMBER(SEARCH("ProductID",INDEX(tblTrans[ProductID],393)))),"",INDEX(tblTrans[Date],393)),"")</f>
        <v/>
      </c>
      <c r="B394" t="str">
        <f>IFERROR(IF(OR(INDEX(tblTrans[ProductID],393)="",ISNUMBER(SEARCH("ProductID",INDEX(tblTrans[ProductID],393)))),"",INDEX(tblTrans[ProductID],393)),"")</f>
        <v/>
      </c>
      <c r="C394" t="str">
        <f>IFERROR(IF(OR(INDEX(tblTrans[ProductID],393)="",ISNUMBER(SEARCH("ProductID",INDEX(tblTrans[ProductID],393)))),"",INDEX(tblTrans[Location],393)),"")</f>
        <v/>
      </c>
      <c r="D394" t="str">
        <f>IFERROR(IF(OR(INDEX(tblTrans[ProductID],393)="",ISNUMBER(SEARCH("ProductID",INDEX(tblTrans[ProductID],393)))),"",INDEX(tblTrans[Quantity],393)),"")</f>
        <v/>
      </c>
      <c r="E394" t="str">
        <f>IFERROR(IF(OR(INDEX(tblTrans[ProductID],393)="",ISNUMBER(SEARCH("ProductID",INDEX(tblTrans[ProductID],393)))),"",INDEX(tblTrans[Type],393)),"")</f>
        <v/>
      </c>
      <c r="F394" t="str">
        <f>IFERROR(IF(OR(INDEX(tblTrans[ProductID],393)="",ISNUMBER(SEARCH("ProductID",INDEX(tblTrans[ProductID],393)))),"",_xlfn.XLOOKUP(B394,tblProducts[ProductID],tblProducts[ProductName],"")),"")</f>
        <v/>
      </c>
      <c r="G394" t="str">
        <f>IFERROR(IF(OR(INDEX(tblTrans[ProductID],393)="",ISNUMBER(SEARCH("ProductID",INDEX(tblTrans[ProductID],393)))),"",_xlfn.XLOOKUP(B394,tblProducts[ProductID],tblProducts[Category],"")),"")</f>
        <v/>
      </c>
      <c r="H394" t="str">
        <f>IFERROR(IF(OR(INDEX(tblTrans[ProductID],393)="",ISNUMBER(SEARCH("ProductID",INDEX(tblTrans[ProductID],393)))),"",_xlfn.XLOOKUP(B394,tblProducts[ProductID],tblProducts[Supplier],"")),"")</f>
        <v/>
      </c>
      <c r="I394" t="str">
        <f>IFERROR(IF(OR(INDEX(tblTrans[ProductID],393)="",ISNUMBER(SEARCH("ProductID",INDEX(tblTrans[ProductID],393)))),"",D394*_xlfn.XLOOKUP(B394,tblProducts[ProductID],tblProducts[UnitCost],0)),"")</f>
        <v/>
      </c>
    </row>
    <row r="395" spans="1:9" x14ac:dyDescent="0.3">
      <c r="A395" s="5" t="str">
        <f>IFERROR(IF(OR(INDEX(tblTrans[ProductID],394)="",ISNUMBER(SEARCH("ProductID",INDEX(tblTrans[ProductID],394)))),"",INDEX(tblTrans[Date],394)),"")</f>
        <v/>
      </c>
      <c r="B395" t="str">
        <f>IFERROR(IF(OR(INDEX(tblTrans[ProductID],394)="",ISNUMBER(SEARCH("ProductID",INDEX(tblTrans[ProductID],394)))),"",INDEX(tblTrans[ProductID],394)),"")</f>
        <v/>
      </c>
      <c r="C395" t="str">
        <f>IFERROR(IF(OR(INDEX(tblTrans[ProductID],394)="",ISNUMBER(SEARCH("ProductID",INDEX(tblTrans[ProductID],394)))),"",INDEX(tblTrans[Location],394)),"")</f>
        <v/>
      </c>
      <c r="D395" t="str">
        <f>IFERROR(IF(OR(INDEX(tblTrans[ProductID],394)="",ISNUMBER(SEARCH("ProductID",INDEX(tblTrans[ProductID],394)))),"",INDEX(tblTrans[Quantity],394)),"")</f>
        <v/>
      </c>
      <c r="E395" t="str">
        <f>IFERROR(IF(OR(INDEX(tblTrans[ProductID],394)="",ISNUMBER(SEARCH("ProductID",INDEX(tblTrans[ProductID],394)))),"",INDEX(tblTrans[Type],394)),"")</f>
        <v/>
      </c>
      <c r="F395" t="str">
        <f>IFERROR(IF(OR(INDEX(tblTrans[ProductID],394)="",ISNUMBER(SEARCH("ProductID",INDEX(tblTrans[ProductID],394)))),"",_xlfn.XLOOKUP(B395,tblProducts[ProductID],tblProducts[ProductName],"")),"")</f>
        <v/>
      </c>
      <c r="G395" t="str">
        <f>IFERROR(IF(OR(INDEX(tblTrans[ProductID],394)="",ISNUMBER(SEARCH("ProductID",INDEX(tblTrans[ProductID],394)))),"",_xlfn.XLOOKUP(B395,tblProducts[ProductID],tblProducts[Category],"")),"")</f>
        <v/>
      </c>
      <c r="H395" t="str">
        <f>IFERROR(IF(OR(INDEX(tblTrans[ProductID],394)="",ISNUMBER(SEARCH("ProductID",INDEX(tblTrans[ProductID],394)))),"",_xlfn.XLOOKUP(B395,tblProducts[ProductID],tblProducts[Supplier],"")),"")</f>
        <v/>
      </c>
      <c r="I395" t="str">
        <f>IFERROR(IF(OR(INDEX(tblTrans[ProductID],394)="",ISNUMBER(SEARCH("ProductID",INDEX(tblTrans[ProductID],394)))),"",D395*_xlfn.XLOOKUP(B395,tblProducts[ProductID],tblProducts[UnitCost],0)),"")</f>
        <v/>
      </c>
    </row>
    <row r="396" spans="1:9" x14ac:dyDescent="0.3">
      <c r="A396" s="5" t="str">
        <f>IFERROR(IF(OR(INDEX(tblTrans[ProductID],395)="",ISNUMBER(SEARCH("ProductID",INDEX(tblTrans[ProductID],395)))),"",INDEX(tblTrans[Date],395)),"")</f>
        <v/>
      </c>
      <c r="B396" t="str">
        <f>IFERROR(IF(OR(INDEX(tblTrans[ProductID],395)="",ISNUMBER(SEARCH("ProductID",INDEX(tblTrans[ProductID],395)))),"",INDEX(tblTrans[ProductID],395)),"")</f>
        <v/>
      </c>
      <c r="C396" t="str">
        <f>IFERROR(IF(OR(INDEX(tblTrans[ProductID],395)="",ISNUMBER(SEARCH("ProductID",INDEX(tblTrans[ProductID],395)))),"",INDEX(tblTrans[Location],395)),"")</f>
        <v/>
      </c>
      <c r="D396" t="str">
        <f>IFERROR(IF(OR(INDEX(tblTrans[ProductID],395)="",ISNUMBER(SEARCH("ProductID",INDEX(tblTrans[ProductID],395)))),"",INDEX(tblTrans[Quantity],395)),"")</f>
        <v/>
      </c>
      <c r="E396" t="str">
        <f>IFERROR(IF(OR(INDEX(tblTrans[ProductID],395)="",ISNUMBER(SEARCH("ProductID",INDEX(tblTrans[ProductID],395)))),"",INDEX(tblTrans[Type],395)),"")</f>
        <v/>
      </c>
      <c r="F396" t="str">
        <f>IFERROR(IF(OR(INDEX(tblTrans[ProductID],395)="",ISNUMBER(SEARCH("ProductID",INDEX(tblTrans[ProductID],395)))),"",_xlfn.XLOOKUP(B396,tblProducts[ProductID],tblProducts[ProductName],"")),"")</f>
        <v/>
      </c>
      <c r="G396" t="str">
        <f>IFERROR(IF(OR(INDEX(tblTrans[ProductID],395)="",ISNUMBER(SEARCH("ProductID",INDEX(tblTrans[ProductID],395)))),"",_xlfn.XLOOKUP(B396,tblProducts[ProductID],tblProducts[Category],"")),"")</f>
        <v/>
      </c>
      <c r="H396" t="str">
        <f>IFERROR(IF(OR(INDEX(tblTrans[ProductID],395)="",ISNUMBER(SEARCH("ProductID",INDEX(tblTrans[ProductID],395)))),"",_xlfn.XLOOKUP(B396,tblProducts[ProductID],tblProducts[Supplier],"")),"")</f>
        <v/>
      </c>
      <c r="I396" t="str">
        <f>IFERROR(IF(OR(INDEX(tblTrans[ProductID],395)="",ISNUMBER(SEARCH("ProductID",INDEX(tblTrans[ProductID],395)))),"",D396*_xlfn.XLOOKUP(B396,tblProducts[ProductID],tblProducts[UnitCost],0)),"")</f>
        <v/>
      </c>
    </row>
    <row r="397" spans="1:9" x14ac:dyDescent="0.3">
      <c r="A397" s="5" t="str">
        <f>IFERROR(IF(OR(INDEX(tblTrans[ProductID],396)="",ISNUMBER(SEARCH("ProductID",INDEX(tblTrans[ProductID],396)))),"",INDEX(tblTrans[Date],396)),"")</f>
        <v/>
      </c>
      <c r="B397" t="str">
        <f>IFERROR(IF(OR(INDEX(tblTrans[ProductID],396)="",ISNUMBER(SEARCH("ProductID",INDEX(tblTrans[ProductID],396)))),"",INDEX(tblTrans[ProductID],396)),"")</f>
        <v/>
      </c>
      <c r="C397" t="str">
        <f>IFERROR(IF(OR(INDEX(tblTrans[ProductID],396)="",ISNUMBER(SEARCH("ProductID",INDEX(tblTrans[ProductID],396)))),"",INDEX(tblTrans[Location],396)),"")</f>
        <v/>
      </c>
      <c r="D397" t="str">
        <f>IFERROR(IF(OR(INDEX(tblTrans[ProductID],396)="",ISNUMBER(SEARCH("ProductID",INDEX(tblTrans[ProductID],396)))),"",INDEX(tblTrans[Quantity],396)),"")</f>
        <v/>
      </c>
      <c r="E397" t="str">
        <f>IFERROR(IF(OR(INDEX(tblTrans[ProductID],396)="",ISNUMBER(SEARCH("ProductID",INDEX(tblTrans[ProductID],396)))),"",INDEX(tblTrans[Type],396)),"")</f>
        <v/>
      </c>
      <c r="F397" t="str">
        <f>IFERROR(IF(OR(INDEX(tblTrans[ProductID],396)="",ISNUMBER(SEARCH("ProductID",INDEX(tblTrans[ProductID],396)))),"",_xlfn.XLOOKUP(B397,tblProducts[ProductID],tblProducts[ProductName],"")),"")</f>
        <v/>
      </c>
      <c r="G397" t="str">
        <f>IFERROR(IF(OR(INDEX(tblTrans[ProductID],396)="",ISNUMBER(SEARCH("ProductID",INDEX(tblTrans[ProductID],396)))),"",_xlfn.XLOOKUP(B397,tblProducts[ProductID],tblProducts[Category],"")),"")</f>
        <v/>
      </c>
      <c r="H397" t="str">
        <f>IFERROR(IF(OR(INDEX(tblTrans[ProductID],396)="",ISNUMBER(SEARCH("ProductID",INDEX(tblTrans[ProductID],396)))),"",_xlfn.XLOOKUP(B397,tblProducts[ProductID],tblProducts[Supplier],"")),"")</f>
        <v/>
      </c>
      <c r="I397" t="str">
        <f>IFERROR(IF(OR(INDEX(tblTrans[ProductID],396)="",ISNUMBER(SEARCH("ProductID",INDEX(tblTrans[ProductID],396)))),"",D397*_xlfn.XLOOKUP(B397,tblProducts[ProductID],tblProducts[UnitCost],0)),"")</f>
        <v/>
      </c>
    </row>
    <row r="398" spans="1:9" x14ac:dyDescent="0.3">
      <c r="A398" s="5" t="str">
        <f>IFERROR(IF(OR(INDEX(tblTrans[ProductID],397)="",ISNUMBER(SEARCH("ProductID",INDEX(tblTrans[ProductID],397)))),"",INDEX(tblTrans[Date],397)),"")</f>
        <v/>
      </c>
      <c r="B398" t="str">
        <f>IFERROR(IF(OR(INDEX(tblTrans[ProductID],397)="",ISNUMBER(SEARCH("ProductID",INDEX(tblTrans[ProductID],397)))),"",INDEX(tblTrans[ProductID],397)),"")</f>
        <v/>
      </c>
      <c r="C398" t="str">
        <f>IFERROR(IF(OR(INDEX(tblTrans[ProductID],397)="",ISNUMBER(SEARCH("ProductID",INDEX(tblTrans[ProductID],397)))),"",INDEX(tblTrans[Location],397)),"")</f>
        <v/>
      </c>
      <c r="D398" t="str">
        <f>IFERROR(IF(OR(INDEX(tblTrans[ProductID],397)="",ISNUMBER(SEARCH("ProductID",INDEX(tblTrans[ProductID],397)))),"",INDEX(tblTrans[Quantity],397)),"")</f>
        <v/>
      </c>
      <c r="E398" t="str">
        <f>IFERROR(IF(OR(INDEX(tblTrans[ProductID],397)="",ISNUMBER(SEARCH("ProductID",INDEX(tblTrans[ProductID],397)))),"",INDEX(tblTrans[Type],397)),"")</f>
        <v/>
      </c>
      <c r="F398" t="str">
        <f>IFERROR(IF(OR(INDEX(tblTrans[ProductID],397)="",ISNUMBER(SEARCH("ProductID",INDEX(tblTrans[ProductID],397)))),"",_xlfn.XLOOKUP(B398,tblProducts[ProductID],tblProducts[ProductName],"")),"")</f>
        <v/>
      </c>
      <c r="G398" t="str">
        <f>IFERROR(IF(OR(INDEX(tblTrans[ProductID],397)="",ISNUMBER(SEARCH("ProductID",INDEX(tblTrans[ProductID],397)))),"",_xlfn.XLOOKUP(B398,tblProducts[ProductID],tblProducts[Category],"")),"")</f>
        <v/>
      </c>
      <c r="H398" t="str">
        <f>IFERROR(IF(OR(INDEX(tblTrans[ProductID],397)="",ISNUMBER(SEARCH("ProductID",INDEX(tblTrans[ProductID],397)))),"",_xlfn.XLOOKUP(B398,tblProducts[ProductID],tblProducts[Supplier],"")),"")</f>
        <v/>
      </c>
      <c r="I398" t="str">
        <f>IFERROR(IF(OR(INDEX(tblTrans[ProductID],397)="",ISNUMBER(SEARCH("ProductID",INDEX(tblTrans[ProductID],397)))),"",D398*_xlfn.XLOOKUP(B398,tblProducts[ProductID],tblProducts[UnitCost],0)),"")</f>
        <v/>
      </c>
    </row>
    <row r="399" spans="1:9" x14ac:dyDescent="0.3">
      <c r="A399" s="5" t="str">
        <f>IFERROR(IF(OR(INDEX(tblTrans[ProductID],398)="",ISNUMBER(SEARCH("ProductID",INDEX(tblTrans[ProductID],398)))),"",INDEX(tblTrans[Date],398)),"")</f>
        <v/>
      </c>
      <c r="B399" t="str">
        <f>IFERROR(IF(OR(INDEX(tblTrans[ProductID],398)="",ISNUMBER(SEARCH("ProductID",INDEX(tblTrans[ProductID],398)))),"",INDEX(tblTrans[ProductID],398)),"")</f>
        <v/>
      </c>
      <c r="C399" t="str">
        <f>IFERROR(IF(OR(INDEX(tblTrans[ProductID],398)="",ISNUMBER(SEARCH("ProductID",INDEX(tblTrans[ProductID],398)))),"",INDEX(tblTrans[Location],398)),"")</f>
        <v/>
      </c>
      <c r="D399" t="str">
        <f>IFERROR(IF(OR(INDEX(tblTrans[ProductID],398)="",ISNUMBER(SEARCH("ProductID",INDEX(tblTrans[ProductID],398)))),"",INDEX(tblTrans[Quantity],398)),"")</f>
        <v/>
      </c>
      <c r="E399" t="str">
        <f>IFERROR(IF(OR(INDEX(tblTrans[ProductID],398)="",ISNUMBER(SEARCH("ProductID",INDEX(tblTrans[ProductID],398)))),"",INDEX(tblTrans[Type],398)),"")</f>
        <v/>
      </c>
      <c r="F399" t="str">
        <f>IFERROR(IF(OR(INDEX(tblTrans[ProductID],398)="",ISNUMBER(SEARCH("ProductID",INDEX(tblTrans[ProductID],398)))),"",_xlfn.XLOOKUP(B399,tblProducts[ProductID],tblProducts[ProductName],"")),"")</f>
        <v/>
      </c>
      <c r="G399" t="str">
        <f>IFERROR(IF(OR(INDEX(tblTrans[ProductID],398)="",ISNUMBER(SEARCH("ProductID",INDEX(tblTrans[ProductID],398)))),"",_xlfn.XLOOKUP(B399,tblProducts[ProductID],tblProducts[Category],"")),"")</f>
        <v/>
      </c>
      <c r="H399" t="str">
        <f>IFERROR(IF(OR(INDEX(tblTrans[ProductID],398)="",ISNUMBER(SEARCH("ProductID",INDEX(tblTrans[ProductID],398)))),"",_xlfn.XLOOKUP(B399,tblProducts[ProductID],tblProducts[Supplier],"")),"")</f>
        <v/>
      </c>
      <c r="I399" t="str">
        <f>IFERROR(IF(OR(INDEX(tblTrans[ProductID],398)="",ISNUMBER(SEARCH("ProductID",INDEX(tblTrans[ProductID],398)))),"",D399*_xlfn.XLOOKUP(B399,tblProducts[ProductID],tblProducts[UnitCost],0)),"")</f>
        <v/>
      </c>
    </row>
    <row r="400" spans="1:9" x14ac:dyDescent="0.3">
      <c r="A400" s="5" t="str">
        <f>IFERROR(IF(OR(INDEX(tblTrans[ProductID],399)="",ISNUMBER(SEARCH("ProductID",INDEX(tblTrans[ProductID],399)))),"",INDEX(tblTrans[Date],399)),"")</f>
        <v/>
      </c>
      <c r="B400" t="str">
        <f>IFERROR(IF(OR(INDEX(tblTrans[ProductID],399)="",ISNUMBER(SEARCH("ProductID",INDEX(tblTrans[ProductID],399)))),"",INDEX(tblTrans[ProductID],399)),"")</f>
        <v/>
      </c>
      <c r="C400" t="str">
        <f>IFERROR(IF(OR(INDEX(tblTrans[ProductID],399)="",ISNUMBER(SEARCH("ProductID",INDEX(tblTrans[ProductID],399)))),"",INDEX(tblTrans[Location],399)),"")</f>
        <v/>
      </c>
      <c r="D400" t="str">
        <f>IFERROR(IF(OR(INDEX(tblTrans[ProductID],399)="",ISNUMBER(SEARCH("ProductID",INDEX(tblTrans[ProductID],399)))),"",INDEX(tblTrans[Quantity],399)),"")</f>
        <v/>
      </c>
      <c r="E400" t="str">
        <f>IFERROR(IF(OR(INDEX(tblTrans[ProductID],399)="",ISNUMBER(SEARCH("ProductID",INDEX(tblTrans[ProductID],399)))),"",INDEX(tblTrans[Type],399)),"")</f>
        <v/>
      </c>
      <c r="F400" t="str">
        <f>IFERROR(IF(OR(INDEX(tblTrans[ProductID],399)="",ISNUMBER(SEARCH("ProductID",INDEX(tblTrans[ProductID],399)))),"",_xlfn.XLOOKUP(B400,tblProducts[ProductID],tblProducts[ProductName],"")),"")</f>
        <v/>
      </c>
      <c r="G400" t="str">
        <f>IFERROR(IF(OR(INDEX(tblTrans[ProductID],399)="",ISNUMBER(SEARCH("ProductID",INDEX(tblTrans[ProductID],399)))),"",_xlfn.XLOOKUP(B400,tblProducts[ProductID],tblProducts[Category],"")),"")</f>
        <v/>
      </c>
      <c r="H400" t="str">
        <f>IFERROR(IF(OR(INDEX(tblTrans[ProductID],399)="",ISNUMBER(SEARCH("ProductID",INDEX(tblTrans[ProductID],399)))),"",_xlfn.XLOOKUP(B400,tblProducts[ProductID],tblProducts[Supplier],"")),"")</f>
        <v/>
      </c>
      <c r="I400" t="str">
        <f>IFERROR(IF(OR(INDEX(tblTrans[ProductID],399)="",ISNUMBER(SEARCH("ProductID",INDEX(tblTrans[ProductID],399)))),"",D400*_xlfn.XLOOKUP(B400,tblProducts[ProductID],tblProducts[UnitCost],0)),"")</f>
        <v/>
      </c>
    </row>
    <row r="401" spans="1:9" x14ac:dyDescent="0.3">
      <c r="A401" s="5" t="str">
        <f>IFERROR(IF(OR(INDEX(tblTrans[ProductID],400)="",ISNUMBER(SEARCH("ProductID",INDEX(tblTrans[ProductID],400)))),"",INDEX(tblTrans[Date],400)),"")</f>
        <v/>
      </c>
      <c r="B401" t="str">
        <f>IFERROR(IF(OR(INDEX(tblTrans[ProductID],400)="",ISNUMBER(SEARCH("ProductID",INDEX(tblTrans[ProductID],400)))),"",INDEX(tblTrans[ProductID],400)),"")</f>
        <v/>
      </c>
      <c r="C401" t="str">
        <f>IFERROR(IF(OR(INDEX(tblTrans[ProductID],400)="",ISNUMBER(SEARCH("ProductID",INDEX(tblTrans[ProductID],400)))),"",INDEX(tblTrans[Location],400)),"")</f>
        <v/>
      </c>
      <c r="D401" t="str">
        <f>IFERROR(IF(OR(INDEX(tblTrans[ProductID],400)="",ISNUMBER(SEARCH("ProductID",INDEX(tblTrans[ProductID],400)))),"",INDEX(tblTrans[Quantity],400)),"")</f>
        <v/>
      </c>
      <c r="E401" t="str">
        <f>IFERROR(IF(OR(INDEX(tblTrans[ProductID],400)="",ISNUMBER(SEARCH("ProductID",INDEX(tblTrans[ProductID],400)))),"",INDEX(tblTrans[Type],400)),"")</f>
        <v/>
      </c>
      <c r="F401" t="str">
        <f>IFERROR(IF(OR(INDEX(tblTrans[ProductID],400)="",ISNUMBER(SEARCH("ProductID",INDEX(tblTrans[ProductID],400)))),"",_xlfn.XLOOKUP(B401,tblProducts[ProductID],tblProducts[ProductName],"")),"")</f>
        <v/>
      </c>
      <c r="G401" t="str">
        <f>IFERROR(IF(OR(INDEX(tblTrans[ProductID],400)="",ISNUMBER(SEARCH("ProductID",INDEX(tblTrans[ProductID],400)))),"",_xlfn.XLOOKUP(B401,tblProducts[ProductID],tblProducts[Category],"")),"")</f>
        <v/>
      </c>
      <c r="H401" t="str">
        <f>IFERROR(IF(OR(INDEX(tblTrans[ProductID],400)="",ISNUMBER(SEARCH("ProductID",INDEX(tblTrans[ProductID],400)))),"",_xlfn.XLOOKUP(B401,tblProducts[ProductID],tblProducts[Supplier],"")),"")</f>
        <v/>
      </c>
      <c r="I401" t="str">
        <f>IFERROR(IF(OR(INDEX(tblTrans[ProductID],400)="",ISNUMBER(SEARCH("ProductID",INDEX(tblTrans[ProductID],400)))),"",D401*_xlfn.XLOOKUP(B401,tblProducts[ProductID],tblProducts[UnitCost],0)),"")</f>
        <v/>
      </c>
    </row>
    <row r="402" spans="1:9" x14ac:dyDescent="0.3">
      <c r="A402" s="5" t="str">
        <f>IFERROR(IF(OR(INDEX(tblTrans[ProductID],401)="",ISNUMBER(SEARCH("ProductID",INDEX(tblTrans[ProductID],401)))),"",INDEX(tblTrans[Date],401)),"")</f>
        <v/>
      </c>
      <c r="B402" t="str">
        <f>IFERROR(IF(OR(INDEX(tblTrans[ProductID],401)="",ISNUMBER(SEARCH("ProductID",INDEX(tblTrans[ProductID],401)))),"",INDEX(tblTrans[ProductID],401)),"")</f>
        <v/>
      </c>
      <c r="C402" t="str">
        <f>IFERROR(IF(OR(INDEX(tblTrans[ProductID],401)="",ISNUMBER(SEARCH("ProductID",INDEX(tblTrans[ProductID],401)))),"",INDEX(tblTrans[Location],401)),"")</f>
        <v/>
      </c>
      <c r="D402" t="str">
        <f>IFERROR(IF(OR(INDEX(tblTrans[ProductID],401)="",ISNUMBER(SEARCH("ProductID",INDEX(tblTrans[ProductID],401)))),"",INDEX(tblTrans[Quantity],401)),"")</f>
        <v/>
      </c>
      <c r="E402" t="str">
        <f>IFERROR(IF(OR(INDEX(tblTrans[ProductID],401)="",ISNUMBER(SEARCH("ProductID",INDEX(tblTrans[ProductID],401)))),"",INDEX(tblTrans[Type],401)),"")</f>
        <v/>
      </c>
      <c r="F402" t="str">
        <f>IFERROR(IF(OR(INDEX(tblTrans[ProductID],401)="",ISNUMBER(SEARCH("ProductID",INDEX(tblTrans[ProductID],401)))),"",_xlfn.XLOOKUP(B402,tblProducts[ProductID],tblProducts[ProductName],"")),"")</f>
        <v/>
      </c>
      <c r="G402" t="str">
        <f>IFERROR(IF(OR(INDEX(tblTrans[ProductID],401)="",ISNUMBER(SEARCH("ProductID",INDEX(tblTrans[ProductID],401)))),"",_xlfn.XLOOKUP(B402,tblProducts[ProductID],tblProducts[Category],"")),"")</f>
        <v/>
      </c>
      <c r="H402" t="str">
        <f>IFERROR(IF(OR(INDEX(tblTrans[ProductID],401)="",ISNUMBER(SEARCH("ProductID",INDEX(tblTrans[ProductID],401)))),"",_xlfn.XLOOKUP(B402,tblProducts[ProductID],tblProducts[Supplier],"")),"")</f>
        <v/>
      </c>
      <c r="I402" t="str">
        <f>IFERROR(IF(OR(INDEX(tblTrans[ProductID],401)="",ISNUMBER(SEARCH("ProductID",INDEX(tblTrans[ProductID],401)))),"",D402*_xlfn.XLOOKUP(B402,tblProducts[ProductID],tblProducts[UnitCost],0)),"")</f>
        <v/>
      </c>
    </row>
    <row r="403" spans="1:9" x14ac:dyDescent="0.3">
      <c r="A403" s="5" t="str">
        <f>IFERROR(IF(OR(INDEX(tblTrans[ProductID],402)="",ISNUMBER(SEARCH("ProductID",INDEX(tblTrans[ProductID],402)))),"",INDEX(tblTrans[Date],402)),"")</f>
        <v/>
      </c>
      <c r="B403" t="str">
        <f>IFERROR(IF(OR(INDEX(tblTrans[ProductID],402)="",ISNUMBER(SEARCH("ProductID",INDEX(tblTrans[ProductID],402)))),"",INDEX(tblTrans[ProductID],402)),"")</f>
        <v/>
      </c>
      <c r="C403" t="str">
        <f>IFERROR(IF(OR(INDEX(tblTrans[ProductID],402)="",ISNUMBER(SEARCH("ProductID",INDEX(tblTrans[ProductID],402)))),"",INDEX(tblTrans[Location],402)),"")</f>
        <v/>
      </c>
      <c r="D403" t="str">
        <f>IFERROR(IF(OR(INDEX(tblTrans[ProductID],402)="",ISNUMBER(SEARCH("ProductID",INDEX(tblTrans[ProductID],402)))),"",INDEX(tblTrans[Quantity],402)),"")</f>
        <v/>
      </c>
      <c r="E403" t="str">
        <f>IFERROR(IF(OR(INDEX(tblTrans[ProductID],402)="",ISNUMBER(SEARCH("ProductID",INDEX(tblTrans[ProductID],402)))),"",INDEX(tblTrans[Type],402)),"")</f>
        <v/>
      </c>
      <c r="F403" t="str">
        <f>IFERROR(IF(OR(INDEX(tblTrans[ProductID],402)="",ISNUMBER(SEARCH("ProductID",INDEX(tblTrans[ProductID],402)))),"",_xlfn.XLOOKUP(B403,tblProducts[ProductID],tblProducts[ProductName],"")),"")</f>
        <v/>
      </c>
      <c r="G403" t="str">
        <f>IFERROR(IF(OR(INDEX(tblTrans[ProductID],402)="",ISNUMBER(SEARCH("ProductID",INDEX(tblTrans[ProductID],402)))),"",_xlfn.XLOOKUP(B403,tblProducts[ProductID],tblProducts[Category],"")),"")</f>
        <v/>
      </c>
      <c r="H403" t="str">
        <f>IFERROR(IF(OR(INDEX(tblTrans[ProductID],402)="",ISNUMBER(SEARCH("ProductID",INDEX(tblTrans[ProductID],402)))),"",_xlfn.XLOOKUP(B403,tblProducts[ProductID],tblProducts[Supplier],"")),"")</f>
        <v/>
      </c>
      <c r="I403" t="str">
        <f>IFERROR(IF(OR(INDEX(tblTrans[ProductID],402)="",ISNUMBER(SEARCH("ProductID",INDEX(tblTrans[ProductID],402)))),"",D403*_xlfn.XLOOKUP(B403,tblProducts[ProductID],tblProducts[UnitCost],0)),"")</f>
        <v/>
      </c>
    </row>
    <row r="404" spans="1:9" x14ac:dyDescent="0.3">
      <c r="A404" s="5" t="str">
        <f>IFERROR(IF(OR(INDEX(tblTrans[ProductID],403)="",ISNUMBER(SEARCH("ProductID",INDEX(tblTrans[ProductID],403)))),"",INDEX(tblTrans[Date],403)),"")</f>
        <v/>
      </c>
      <c r="B404" t="str">
        <f>IFERROR(IF(OR(INDEX(tblTrans[ProductID],403)="",ISNUMBER(SEARCH("ProductID",INDEX(tblTrans[ProductID],403)))),"",INDEX(tblTrans[ProductID],403)),"")</f>
        <v/>
      </c>
      <c r="C404" t="str">
        <f>IFERROR(IF(OR(INDEX(tblTrans[ProductID],403)="",ISNUMBER(SEARCH("ProductID",INDEX(tblTrans[ProductID],403)))),"",INDEX(tblTrans[Location],403)),"")</f>
        <v/>
      </c>
      <c r="D404" t="str">
        <f>IFERROR(IF(OR(INDEX(tblTrans[ProductID],403)="",ISNUMBER(SEARCH("ProductID",INDEX(tblTrans[ProductID],403)))),"",INDEX(tblTrans[Quantity],403)),"")</f>
        <v/>
      </c>
      <c r="E404" t="str">
        <f>IFERROR(IF(OR(INDEX(tblTrans[ProductID],403)="",ISNUMBER(SEARCH("ProductID",INDEX(tblTrans[ProductID],403)))),"",INDEX(tblTrans[Type],403)),"")</f>
        <v/>
      </c>
      <c r="F404" t="str">
        <f>IFERROR(IF(OR(INDEX(tblTrans[ProductID],403)="",ISNUMBER(SEARCH("ProductID",INDEX(tblTrans[ProductID],403)))),"",_xlfn.XLOOKUP(B404,tblProducts[ProductID],tblProducts[ProductName],"")),"")</f>
        <v/>
      </c>
      <c r="G404" t="str">
        <f>IFERROR(IF(OR(INDEX(tblTrans[ProductID],403)="",ISNUMBER(SEARCH("ProductID",INDEX(tblTrans[ProductID],403)))),"",_xlfn.XLOOKUP(B404,tblProducts[ProductID],tblProducts[Category],"")),"")</f>
        <v/>
      </c>
      <c r="H404" t="str">
        <f>IFERROR(IF(OR(INDEX(tblTrans[ProductID],403)="",ISNUMBER(SEARCH("ProductID",INDEX(tblTrans[ProductID],403)))),"",_xlfn.XLOOKUP(B404,tblProducts[ProductID],tblProducts[Supplier],"")),"")</f>
        <v/>
      </c>
      <c r="I404" t="str">
        <f>IFERROR(IF(OR(INDEX(tblTrans[ProductID],403)="",ISNUMBER(SEARCH("ProductID",INDEX(tblTrans[ProductID],403)))),"",D404*_xlfn.XLOOKUP(B404,tblProducts[ProductID],tblProducts[UnitCost],0)),"")</f>
        <v/>
      </c>
    </row>
    <row r="405" spans="1:9" x14ac:dyDescent="0.3">
      <c r="A405" s="5" t="str">
        <f>IFERROR(IF(OR(INDEX(tblTrans[ProductID],404)="",ISNUMBER(SEARCH("ProductID",INDEX(tblTrans[ProductID],404)))),"",INDEX(tblTrans[Date],404)),"")</f>
        <v/>
      </c>
      <c r="B405" t="str">
        <f>IFERROR(IF(OR(INDEX(tblTrans[ProductID],404)="",ISNUMBER(SEARCH("ProductID",INDEX(tblTrans[ProductID],404)))),"",INDEX(tblTrans[ProductID],404)),"")</f>
        <v/>
      </c>
      <c r="C405" t="str">
        <f>IFERROR(IF(OR(INDEX(tblTrans[ProductID],404)="",ISNUMBER(SEARCH("ProductID",INDEX(tblTrans[ProductID],404)))),"",INDEX(tblTrans[Location],404)),"")</f>
        <v/>
      </c>
      <c r="D405" t="str">
        <f>IFERROR(IF(OR(INDEX(tblTrans[ProductID],404)="",ISNUMBER(SEARCH("ProductID",INDEX(tblTrans[ProductID],404)))),"",INDEX(tblTrans[Quantity],404)),"")</f>
        <v/>
      </c>
      <c r="E405" t="str">
        <f>IFERROR(IF(OR(INDEX(tblTrans[ProductID],404)="",ISNUMBER(SEARCH("ProductID",INDEX(tblTrans[ProductID],404)))),"",INDEX(tblTrans[Type],404)),"")</f>
        <v/>
      </c>
      <c r="F405" t="str">
        <f>IFERROR(IF(OR(INDEX(tblTrans[ProductID],404)="",ISNUMBER(SEARCH("ProductID",INDEX(tblTrans[ProductID],404)))),"",_xlfn.XLOOKUP(B405,tblProducts[ProductID],tblProducts[ProductName],"")),"")</f>
        <v/>
      </c>
      <c r="G405" t="str">
        <f>IFERROR(IF(OR(INDEX(tblTrans[ProductID],404)="",ISNUMBER(SEARCH("ProductID",INDEX(tblTrans[ProductID],404)))),"",_xlfn.XLOOKUP(B405,tblProducts[ProductID],tblProducts[Category],"")),"")</f>
        <v/>
      </c>
      <c r="H405" t="str">
        <f>IFERROR(IF(OR(INDEX(tblTrans[ProductID],404)="",ISNUMBER(SEARCH("ProductID",INDEX(tblTrans[ProductID],404)))),"",_xlfn.XLOOKUP(B405,tblProducts[ProductID],tblProducts[Supplier],"")),"")</f>
        <v/>
      </c>
      <c r="I405" t="str">
        <f>IFERROR(IF(OR(INDEX(tblTrans[ProductID],404)="",ISNUMBER(SEARCH("ProductID",INDEX(tblTrans[ProductID],404)))),"",D405*_xlfn.XLOOKUP(B405,tblProducts[ProductID],tblProducts[UnitCost],0)),"")</f>
        <v/>
      </c>
    </row>
    <row r="406" spans="1:9" x14ac:dyDescent="0.3">
      <c r="A406" s="5" t="str">
        <f>IFERROR(IF(OR(INDEX(tblTrans[ProductID],405)="",ISNUMBER(SEARCH("ProductID",INDEX(tblTrans[ProductID],405)))),"",INDEX(tblTrans[Date],405)),"")</f>
        <v/>
      </c>
      <c r="B406" t="str">
        <f>IFERROR(IF(OR(INDEX(tblTrans[ProductID],405)="",ISNUMBER(SEARCH("ProductID",INDEX(tblTrans[ProductID],405)))),"",INDEX(tblTrans[ProductID],405)),"")</f>
        <v/>
      </c>
      <c r="C406" t="str">
        <f>IFERROR(IF(OR(INDEX(tblTrans[ProductID],405)="",ISNUMBER(SEARCH("ProductID",INDEX(tblTrans[ProductID],405)))),"",INDEX(tblTrans[Location],405)),"")</f>
        <v/>
      </c>
      <c r="D406" t="str">
        <f>IFERROR(IF(OR(INDEX(tblTrans[ProductID],405)="",ISNUMBER(SEARCH("ProductID",INDEX(tblTrans[ProductID],405)))),"",INDEX(tblTrans[Quantity],405)),"")</f>
        <v/>
      </c>
      <c r="E406" t="str">
        <f>IFERROR(IF(OR(INDEX(tblTrans[ProductID],405)="",ISNUMBER(SEARCH("ProductID",INDEX(tblTrans[ProductID],405)))),"",INDEX(tblTrans[Type],405)),"")</f>
        <v/>
      </c>
      <c r="F406" t="str">
        <f>IFERROR(IF(OR(INDEX(tblTrans[ProductID],405)="",ISNUMBER(SEARCH("ProductID",INDEX(tblTrans[ProductID],405)))),"",_xlfn.XLOOKUP(B406,tblProducts[ProductID],tblProducts[ProductName],"")),"")</f>
        <v/>
      </c>
      <c r="G406" t="str">
        <f>IFERROR(IF(OR(INDEX(tblTrans[ProductID],405)="",ISNUMBER(SEARCH("ProductID",INDEX(tblTrans[ProductID],405)))),"",_xlfn.XLOOKUP(B406,tblProducts[ProductID],tblProducts[Category],"")),"")</f>
        <v/>
      </c>
      <c r="H406" t="str">
        <f>IFERROR(IF(OR(INDEX(tblTrans[ProductID],405)="",ISNUMBER(SEARCH("ProductID",INDEX(tblTrans[ProductID],405)))),"",_xlfn.XLOOKUP(B406,tblProducts[ProductID],tblProducts[Supplier],"")),"")</f>
        <v/>
      </c>
      <c r="I406" t="str">
        <f>IFERROR(IF(OR(INDEX(tblTrans[ProductID],405)="",ISNUMBER(SEARCH("ProductID",INDEX(tblTrans[ProductID],405)))),"",D406*_xlfn.XLOOKUP(B406,tblProducts[ProductID],tblProducts[UnitCost],0)),"")</f>
        <v/>
      </c>
    </row>
    <row r="407" spans="1:9" x14ac:dyDescent="0.3">
      <c r="A407" s="5" t="str">
        <f>IFERROR(IF(OR(INDEX(tblTrans[ProductID],406)="",ISNUMBER(SEARCH("ProductID",INDEX(tblTrans[ProductID],406)))),"",INDEX(tblTrans[Date],406)),"")</f>
        <v/>
      </c>
      <c r="B407" t="str">
        <f>IFERROR(IF(OR(INDEX(tblTrans[ProductID],406)="",ISNUMBER(SEARCH("ProductID",INDEX(tblTrans[ProductID],406)))),"",INDEX(tblTrans[ProductID],406)),"")</f>
        <v/>
      </c>
      <c r="C407" t="str">
        <f>IFERROR(IF(OR(INDEX(tblTrans[ProductID],406)="",ISNUMBER(SEARCH("ProductID",INDEX(tblTrans[ProductID],406)))),"",INDEX(tblTrans[Location],406)),"")</f>
        <v/>
      </c>
      <c r="D407" t="str">
        <f>IFERROR(IF(OR(INDEX(tblTrans[ProductID],406)="",ISNUMBER(SEARCH("ProductID",INDEX(tblTrans[ProductID],406)))),"",INDEX(tblTrans[Quantity],406)),"")</f>
        <v/>
      </c>
      <c r="E407" t="str">
        <f>IFERROR(IF(OR(INDEX(tblTrans[ProductID],406)="",ISNUMBER(SEARCH("ProductID",INDEX(tblTrans[ProductID],406)))),"",INDEX(tblTrans[Type],406)),"")</f>
        <v/>
      </c>
      <c r="F407" t="str">
        <f>IFERROR(IF(OR(INDEX(tblTrans[ProductID],406)="",ISNUMBER(SEARCH("ProductID",INDEX(tblTrans[ProductID],406)))),"",_xlfn.XLOOKUP(B407,tblProducts[ProductID],tblProducts[ProductName],"")),"")</f>
        <v/>
      </c>
      <c r="G407" t="str">
        <f>IFERROR(IF(OR(INDEX(tblTrans[ProductID],406)="",ISNUMBER(SEARCH("ProductID",INDEX(tblTrans[ProductID],406)))),"",_xlfn.XLOOKUP(B407,tblProducts[ProductID],tblProducts[Category],"")),"")</f>
        <v/>
      </c>
      <c r="H407" t="str">
        <f>IFERROR(IF(OR(INDEX(tblTrans[ProductID],406)="",ISNUMBER(SEARCH("ProductID",INDEX(tblTrans[ProductID],406)))),"",_xlfn.XLOOKUP(B407,tblProducts[ProductID],tblProducts[Supplier],"")),"")</f>
        <v/>
      </c>
      <c r="I407" t="str">
        <f>IFERROR(IF(OR(INDEX(tblTrans[ProductID],406)="",ISNUMBER(SEARCH("ProductID",INDEX(tblTrans[ProductID],406)))),"",D407*_xlfn.XLOOKUP(B407,tblProducts[ProductID],tblProducts[UnitCost],0)),"")</f>
        <v/>
      </c>
    </row>
    <row r="408" spans="1:9" x14ac:dyDescent="0.3">
      <c r="A408" s="5" t="str">
        <f>IFERROR(IF(OR(INDEX(tblTrans[ProductID],407)="",ISNUMBER(SEARCH("ProductID",INDEX(tblTrans[ProductID],407)))),"",INDEX(tblTrans[Date],407)),"")</f>
        <v/>
      </c>
      <c r="B408" t="str">
        <f>IFERROR(IF(OR(INDEX(tblTrans[ProductID],407)="",ISNUMBER(SEARCH("ProductID",INDEX(tblTrans[ProductID],407)))),"",INDEX(tblTrans[ProductID],407)),"")</f>
        <v/>
      </c>
      <c r="C408" t="str">
        <f>IFERROR(IF(OR(INDEX(tblTrans[ProductID],407)="",ISNUMBER(SEARCH("ProductID",INDEX(tblTrans[ProductID],407)))),"",INDEX(tblTrans[Location],407)),"")</f>
        <v/>
      </c>
      <c r="D408" t="str">
        <f>IFERROR(IF(OR(INDEX(tblTrans[ProductID],407)="",ISNUMBER(SEARCH("ProductID",INDEX(tblTrans[ProductID],407)))),"",INDEX(tblTrans[Quantity],407)),"")</f>
        <v/>
      </c>
      <c r="E408" t="str">
        <f>IFERROR(IF(OR(INDEX(tblTrans[ProductID],407)="",ISNUMBER(SEARCH("ProductID",INDEX(tblTrans[ProductID],407)))),"",INDEX(tblTrans[Type],407)),"")</f>
        <v/>
      </c>
      <c r="F408" t="str">
        <f>IFERROR(IF(OR(INDEX(tblTrans[ProductID],407)="",ISNUMBER(SEARCH("ProductID",INDEX(tblTrans[ProductID],407)))),"",_xlfn.XLOOKUP(B408,tblProducts[ProductID],tblProducts[ProductName],"")),"")</f>
        <v/>
      </c>
      <c r="G408" t="str">
        <f>IFERROR(IF(OR(INDEX(tblTrans[ProductID],407)="",ISNUMBER(SEARCH("ProductID",INDEX(tblTrans[ProductID],407)))),"",_xlfn.XLOOKUP(B408,tblProducts[ProductID],tblProducts[Category],"")),"")</f>
        <v/>
      </c>
      <c r="H408" t="str">
        <f>IFERROR(IF(OR(INDEX(tblTrans[ProductID],407)="",ISNUMBER(SEARCH("ProductID",INDEX(tblTrans[ProductID],407)))),"",_xlfn.XLOOKUP(B408,tblProducts[ProductID],tblProducts[Supplier],"")),"")</f>
        <v/>
      </c>
      <c r="I408" t="str">
        <f>IFERROR(IF(OR(INDEX(tblTrans[ProductID],407)="",ISNUMBER(SEARCH("ProductID",INDEX(tblTrans[ProductID],407)))),"",D408*_xlfn.XLOOKUP(B408,tblProducts[ProductID],tblProducts[UnitCost],0)),"")</f>
        <v/>
      </c>
    </row>
    <row r="409" spans="1:9" x14ac:dyDescent="0.3">
      <c r="A409" s="5" t="str">
        <f>IFERROR(IF(OR(INDEX(tblTrans[ProductID],408)="",ISNUMBER(SEARCH("ProductID",INDEX(tblTrans[ProductID],408)))),"",INDEX(tblTrans[Date],408)),"")</f>
        <v/>
      </c>
      <c r="B409" t="str">
        <f>IFERROR(IF(OR(INDEX(tblTrans[ProductID],408)="",ISNUMBER(SEARCH("ProductID",INDEX(tblTrans[ProductID],408)))),"",INDEX(tblTrans[ProductID],408)),"")</f>
        <v/>
      </c>
      <c r="C409" t="str">
        <f>IFERROR(IF(OR(INDEX(tblTrans[ProductID],408)="",ISNUMBER(SEARCH("ProductID",INDEX(tblTrans[ProductID],408)))),"",INDEX(tblTrans[Location],408)),"")</f>
        <v/>
      </c>
      <c r="D409" t="str">
        <f>IFERROR(IF(OR(INDEX(tblTrans[ProductID],408)="",ISNUMBER(SEARCH("ProductID",INDEX(tblTrans[ProductID],408)))),"",INDEX(tblTrans[Quantity],408)),"")</f>
        <v/>
      </c>
      <c r="E409" t="str">
        <f>IFERROR(IF(OR(INDEX(tblTrans[ProductID],408)="",ISNUMBER(SEARCH("ProductID",INDEX(tblTrans[ProductID],408)))),"",INDEX(tblTrans[Type],408)),"")</f>
        <v/>
      </c>
      <c r="F409" t="str">
        <f>IFERROR(IF(OR(INDEX(tblTrans[ProductID],408)="",ISNUMBER(SEARCH("ProductID",INDEX(tblTrans[ProductID],408)))),"",_xlfn.XLOOKUP(B409,tblProducts[ProductID],tblProducts[ProductName],"")),"")</f>
        <v/>
      </c>
      <c r="G409" t="str">
        <f>IFERROR(IF(OR(INDEX(tblTrans[ProductID],408)="",ISNUMBER(SEARCH("ProductID",INDEX(tblTrans[ProductID],408)))),"",_xlfn.XLOOKUP(B409,tblProducts[ProductID],tblProducts[Category],"")),"")</f>
        <v/>
      </c>
      <c r="H409" t="str">
        <f>IFERROR(IF(OR(INDEX(tblTrans[ProductID],408)="",ISNUMBER(SEARCH("ProductID",INDEX(tblTrans[ProductID],408)))),"",_xlfn.XLOOKUP(B409,tblProducts[ProductID],tblProducts[Supplier],"")),"")</f>
        <v/>
      </c>
      <c r="I409" t="str">
        <f>IFERROR(IF(OR(INDEX(tblTrans[ProductID],408)="",ISNUMBER(SEARCH("ProductID",INDEX(tblTrans[ProductID],408)))),"",D409*_xlfn.XLOOKUP(B409,tblProducts[ProductID],tblProducts[UnitCost],0)),"")</f>
        <v/>
      </c>
    </row>
    <row r="410" spans="1:9" x14ac:dyDescent="0.3">
      <c r="A410" s="5" t="str">
        <f>IFERROR(IF(OR(INDEX(tblTrans[ProductID],409)="",ISNUMBER(SEARCH("ProductID",INDEX(tblTrans[ProductID],409)))),"",INDEX(tblTrans[Date],409)),"")</f>
        <v/>
      </c>
      <c r="B410" t="str">
        <f>IFERROR(IF(OR(INDEX(tblTrans[ProductID],409)="",ISNUMBER(SEARCH("ProductID",INDEX(tblTrans[ProductID],409)))),"",INDEX(tblTrans[ProductID],409)),"")</f>
        <v/>
      </c>
      <c r="C410" t="str">
        <f>IFERROR(IF(OR(INDEX(tblTrans[ProductID],409)="",ISNUMBER(SEARCH("ProductID",INDEX(tblTrans[ProductID],409)))),"",INDEX(tblTrans[Location],409)),"")</f>
        <v/>
      </c>
      <c r="D410" t="str">
        <f>IFERROR(IF(OR(INDEX(tblTrans[ProductID],409)="",ISNUMBER(SEARCH("ProductID",INDEX(tblTrans[ProductID],409)))),"",INDEX(tblTrans[Quantity],409)),"")</f>
        <v/>
      </c>
      <c r="E410" t="str">
        <f>IFERROR(IF(OR(INDEX(tblTrans[ProductID],409)="",ISNUMBER(SEARCH("ProductID",INDEX(tblTrans[ProductID],409)))),"",INDEX(tblTrans[Type],409)),"")</f>
        <v/>
      </c>
      <c r="F410" t="str">
        <f>IFERROR(IF(OR(INDEX(tblTrans[ProductID],409)="",ISNUMBER(SEARCH("ProductID",INDEX(tblTrans[ProductID],409)))),"",_xlfn.XLOOKUP(B410,tblProducts[ProductID],tblProducts[ProductName],"")),"")</f>
        <v/>
      </c>
      <c r="G410" t="str">
        <f>IFERROR(IF(OR(INDEX(tblTrans[ProductID],409)="",ISNUMBER(SEARCH("ProductID",INDEX(tblTrans[ProductID],409)))),"",_xlfn.XLOOKUP(B410,tblProducts[ProductID],tblProducts[Category],"")),"")</f>
        <v/>
      </c>
      <c r="H410" t="str">
        <f>IFERROR(IF(OR(INDEX(tblTrans[ProductID],409)="",ISNUMBER(SEARCH("ProductID",INDEX(tblTrans[ProductID],409)))),"",_xlfn.XLOOKUP(B410,tblProducts[ProductID],tblProducts[Supplier],"")),"")</f>
        <v/>
      </c>
      <c r="I410" t="str">
        <f>IFERROR(IF(OR(INDEX(tblTrans[ProductID],409)="",ISNUMBER(SEARCH("ProductID",INDEX(tblTrans[ProductID],409)))),"",D410*_xlfn.XLOOKUP(B410,tblProducts[ProductID],tblProducts[UnitCost],0)),"")</f>
        <v/>
      </c>
    </row>
    <row r="411" spans="1:9" x14ac:dyDescent="0.3">
      <c r="A411" s="5" t="str">
        <f>IFERROR(IF(OR(INDEX(tblTrans[ProductID],410)="",ISNUMBER(SEARCH("ProductID",INDEX(tblTrans[ProductID],410)))),"",INDEX(tblTrans[Date],410)),"")</f>
        <v/>
      </c>
      <c r="B411" t="str">
        <f>IFERROR(IF(OR(INDEX(tblTrans[ProductID],410)="",ISNUMBER(SEARCH("ProductID",INDEX(tblTrans[ProductID],410)))),"",INDEX(tblTrans[ProductID],410)),"")</f>
        <v/>
      </c>
      <c r="C411" t="str">
        <f>IFERROR(IF(OR(INDEX(tblTrans[ProductID],410)="",ISNUMBER(SEARCH("ProductID",INDEX(tblTrans[ProductID],410)))),"",INDEX(tblTrans[Location],410)),"")</f>
        <v/>
      </c>
      <c r="D411" t="str">
        <f>IFERROR(IF(OR(INDEX(tblTrans[ProductID],410)="",ISNUMBER(SEARCH("ProductID",INDEX(tblTrans[ProductID],410)))),"",INDEX(tblTrans[Quantity],410)),"")</f>
        <v/>
      </c>
      <c r="E411" t="str">
        <f>IFERROR(IF(OR(INDEX(tblTrans[ProductID],410)="",ISNUMBER(SEARCH("ProductID",INDEX(tblTrans[ProductID],410)))),"",INDEX(tblTrans[Type],410)),"")</f>
        <v/>
      </c>
      <c r="F411" t="str">
        <f>IFERROR(IF(OR(INDEX(tblTrans[ProductID],410)="",ISNUMBER(SEARCH("ProductID",INDEX(tblTrans[ProductID],410)))),"",_xlfn.XLOOKUP(B411,tblProducts[ProductID],tblProducts[ProductName],"")),"")</f>
        <v/>
      </c>
      <c r="G411" t="str">
        <f>IFERROR(IF(OR(INDEX(tblTrans[ProductID],410)="",ISNUMBER(SEARCH("ProductID",INDEX(tblTrans[ProductID],410)))),"",_xlfn.XLOOKUP(B411,tblProducts[ProductID],tblProducts[Category],"")),"")</f>
        <v/>
      </c>
      <c r="H411" t="str">
        <f>IFERROR(IF(OR(INDEX(tblTrans[ProductID],410)="",ISNUMBER(SEARCH("ProductID",INDEX(tblTrans[ProductID],410)))),"",_xlfn.XLOOKUP(B411,tblProducts[ProductID],tblProducts[Supplier],"")),"")</f>
        <v/>
      </c>
      <c r="I411" t="str">
        <f>IFERROR(IF(OR(INDEX(tblTrans[ProductID],410)="",ISNUMBER(SEARCH("ProductID",INDEX(tblTrans[ProductID],410)))),"",D411*_xlfn.XLOOKUP(B411,tblProducts[ProductID],tblProducts[UnitCost],0)),"")</f>
        <v/>
      </c>
    </row>
    <row r="412" spans="1:9" x14ac:dyDescent="0.3">
      <c r="A412" s="5" t="str">
        <f>IFERROR(IF(OR(INDEX(tblTrans[ProductID],411)="",ISNUMBER(SEARCH("ProductID",INDEX(tblTrans[ProductID],411)))),"",INDEX(tblTrans[Date],411)),"")</f>
        <v/>
      </c>
      <c r="B412" t="str">
        <f>IFERROR(IF(OR(INDEX(tblTrans[ProductID],411)="",ISNUMBER(SEARCH("ProductID",INDEX(tblTrans[ProductID],411)))),"",INDEX(tblTrans[ProductID],411)),"")</f>
        <v/>
      </c>
      <c r="C412" t="str">
        <f>IFERROR(IF(OR(INDEX(tblTrans[ProductID],411)="",ISNUMBER(SEARCH("ProductID",INDEX(tblTrans[ProductID],411)))),"",INDEX(tblTrans[Location],411)),"")</f>
        <v/>
      </c>
      <c r="D412" t="str">
        <f>IFERROR(IF(OR(INDEX(tblTrans[ProductID],411)="",ISNUMBER(SEARCH("ProductID",INDEX(tblTrans[ProductID],411)))),"",INDEX(tblTrans[Quantity],411)),"")</f>
        <v/>
      </c>
      <c r="E412" t="str">
        <f>IFERROR(IF(OR(INDEX(tblTrans[ProductID],411)="",ISNUMBER(SEARCH("ProductID",INDEX(tblTrans[ProductID],411)))),"",INDEX(tblTrans[Type],411)),"")</f>
        <v/>
      </c>
      <c r="F412" t="str">
        <f>IFERROR(IF(OR(INDEX(tblTrans[ProductID],411)="",ISNUMBER(SEARCH("ProductID",INDEX(tblTrans[ProductID],411)))),"",_xlfn.XLOOKUP(B412,tblProducts[ProductID],tblProducts[ProductName],"")),"")</f>
        <v/>
      </c>
      <c r="G412" t="str">
        <f>IFERROR(IF(OR(INDEX(tblTrans[ProductID],411)="",ISNUMBER(SEARCH("ProductID",INDEX(tblTrans[ProductID],411)))),"",_xlfn.XLOOKUP(B412,tblProducts[ProductID],tblProducts[Category],"")),"")</f>
        <v/>
      </c>
      <c r="H412" t="str">
        <f>IFERROR(IF(OR(INDEX(tblTrans[ProductID],411)="",ISNUMBER(SEARCH("ProductID",INDEX(tblTrans[ProductID],411)))),"",_xlfn.XLOOKUP(B412,tblProducts[ProductID],tblProducts[Supplier],"")),"")</f>
        <v/>
      </c>
      <c r="I412" t="str">
        <f>IFERROR(IF(OR(INDEX(tblTrans[ProductID],411)="",ISNUMBER(SEARCH("ProductID",INDEX(tblTrans[ProductID],411)))),"",D412*_xlfn.XLOOKUP(B412,tblProducts[ProductID],tblProducts[UnitCost],0)),"")</f>
        <v/>
      </c>
    </row>
    <row r="413" spans="1:9" x14ac:dyDescent="0.3">
      <c r="A413" s="5" t="str">
        <f>IFERROR(IF(OR(INDEX(tblTrans[ProductID],412)="",ISNUMBER(SEARCH("ProductID",INDEX(tblTrans[ProductID],412)))),"",INDEX(tblTrans[Date],412)),"")</f>
        <v/>
      </c>
      <c r="B413" t="str">
        <f>IFERROR(IF(OR(INDEX(tblTrans[ProductID],412)="",ISNUMBER(SEARCH("ProductID",INDEX(tblTrans[ProductID],412)))),"",INDEX(tblTrans[ProductID],412)),"")</f>
        <v/>
      </c>
      <c r="C413" t="str">
        <f>IFERROR(IF(OR(INDEX(tblTrans[ProductID],412)="",ISNUMBER(SEARCH("ProductID",INDEX(tblTrans[ProductID],412)))),"",INDEX(tblTrans[Location],412)),"")</f>
        <v/>
      </c>
      <c r="D413" t="str">
        <f>IFERROR(IF(OR(INDEX(tblTrans[ProductID],412)="",ISNUMBER(SEARCH("ProductID",INDEX(tblTrans[ProductID],412)))),"",INDEX(tblTrans[Quantity],412)),"")</f>
        <v/>
      </c>
      <c r="E413" t="str">
        <f>IFERROR(IF(OR(INDEX(tblTrans[ProductID],412)="",ISNUMBER(SEARCH("ProductID",INDEX(tblTrans[ProductID],412)))),"",INDEX(tblTrans[Type],412)),"")</f>
        <v/>
      </c>
      <c r="F413" t="str">
        <f>IFERROR(IF(OR(INDEX(tblTrans[ProductID],412)="",ISNUMBER(SEARCH("ProductID",INDEX(tblTrans[ProductID],412)))),"",_xlfn.XLOOKUP(B413,tblProducts[ProductID],tblProducts[ProductName],"")),"")</f>
        <v/>
      </c>
      <c r="G413" t="str">
        <f>IFERROR(IF(OR(INDEX(tblTrans[ProductID],412)="",ISNUMBER(SEARCH("ProductID",INDEX(tblTrans[ProductID],412)))),"",_xlfn.XLOOKUP(B413,tblProducts[ProductID],tblProducts[Category],"")),"")</f>
        <v/>
      </c>
      <c r="H413" t="str">
        <f>IFERROR(IF(OR(INDEX(tblTrans[ProductID],412)="",ISNUMBER(SEARCH("ProductID",INDEX(tblTrans[ProductID],412)))),"",_xlfn.XLOOKUP(B413,tblProducts[ProductID],tblProducts[Supplier],"")),"")</f>
        <v/>
      </c>
      <c r="I413" t="str">
        <f>IFERROR(IF(OR(INDEX(tblTrans[ProductID],412)="",ISNUMBER(SEARCH("ProductID",INDEX(tblTrans[ProductID],412)))),"",D413*_xlfn.XLOOKUP(B413,tblProducts[ProductID],tblProducts[UnitCost],0)),"")</f>
        <v/>
      </c>
    </row>
    <row r="414" spans="1:9" x14ac:dyDescent="0.3">
      <c r="A414" s="5" t="str">
        <f>IFERROR(IF(OR(INDEX(tblTrans[ProductID],413)="",ISNUMBER(SEARCH("ProductID",INDEX(tblTrans[ProductID],413)))),"",INDEX(tblTrans[Date],413)),"")</f>
        <v/>
      </c>
      <c r="B414" t="str">
        <f>IFERROR(IF(OR(INDEX(tblTrans[ProductID],413)="",ISNUMBER(SEARCH("ProductID",INDEX(tblTrans[ProductID],413)))),"",INDEX(tblTrans[ProductID],413)),"")</f>
        <v/>
      </c>
      <c r="C414" t="str">
        <f>IFERROR(IF(OR(INDEX(tblTrans[ProductID],413)="",ISNUMBER(SEARCH("ProductID",INDEX(tblTrans[ProductID],413)))),"",INDEX(tblTrans[Location],413)),"")</f>
        <v/>
      </c>
      <c r="D414" t="str">
        <f>IFERROR(IF(OR(INDEX(tblTrans[ProductID],413)="",ISNUMBER(SEARCH("ProductID",INDEX(tblTrans[ProductID],413)))),"",INDEX(tblTrans[Quantity],413)),"")</f>
        <v/>
      </c>
      <c r="E414" t="str">
        <f>IFERROR(IF(OR(INDEX(tblTrans[ProductID],413)="",ISNUMBER(SEARCH("ProductID",INDEX(tblTrans[ProductID],413)))),"",INDEX(tblTrans[Type],413)),"")</f>
        <v/>
      </c>
      <c r="F414" t="str">
        <f>IFERROR(IF(OR(INDEX(tblTrans[ProductID],413)="",ISNUMBER(SEARCH("ProductID",INDEX(tblTrans[ProductID],413)))),"",_xlfn.XLOOKUP(B414,tblProducts[ProductID],tblProducts[ProductName],"")),"")</f>
        <v/>
      </c>
      <c r="G414" t="str">
        <f>IFERROR(IF(OR(INDEX(tblTrans[ProductID],413)="",ISNUMBER(SEARCH("ProductID",INDEX(tblTrans[ProductID],413)))),"",_xlfn.XLOOKUP(B414,tblProducts[ProductID],tblProducts[Category],"")),"")</f>
        <v/>
      </c>
      <c r="H414" t="str">
        <f>IFERROR(IF(OR(INDEX(tblTrans[ProductID],413)="",ISNUMBER(SEARCH("ProductID",INDEX(tblTrans[ProductID],413)))),"",_xlfn.XLOOKUP(B414,tblProducts[ProductID],tblProducts[Supplier],"")),"")</f>
        <v/>
      </c>
      <c r="I414" t="str">
        <f>IFERROR(IF(OR(INDEX(tblTrans[ProductID],413)="",ISNUMBER(SEARCH("ProductID",INDEX(tblTrans[ProductID],413)))),"",D414*_xlfn.XLOOKUP(B414,tblProducts[ProductID],tblProducts[UnitCost],0)),"")</f>
        <v/>
      </c>
    </row>
    <row r="415" spans="1:9" x14ac:dyDescent="0.3">
      <c r="A415" s="5" t="str">
        <f>IFERROR(IF(OR(INDEX(tblTrans[ProductID],414)="",ISNUMBER(SEARCH("ProductID",INDEX(tblTrans[ProductID],414)))),"",INDEX(tblTrans[Date],414)),"")</f>
        <v/>
      </c>
      <c r="B415" t="str">
        <f>IFERROR(IF(OR(INDEX(tblTrans[ProductID],414)="",ISNUMBER(SEARCH("ProductID",INDEX(tblTrans[ProductID],414)))),"",INDEX(tblTrans[ProductID],414)),"")</f>
        <v/>
      </c>
      <c r="C415" t="str">
        <f>IFERROR(IF(OR(INDEX(tblTrans[ProductID],414)="",ISNUMBER(SEARCH("ProductID",INDEX(tblTrans[ProductID],414)))),"",INDEX(tblTrans[Location],414)),"")</f>
        <v/>
      </c>
      <c r="D415" t="str">
        <f>IFERROR(IF(OR(INDEX(tblTrans[ProductID],414)="",ISNUMBER(SEARCH("ProductID",INDEX(tblTrans[ProductID],414)))),"",INDEX(tblTrans[Quantity],414)),"")</f>
        <v/>
      </c>
      <c r="E415" t="str">
        <f>IFERROR(IF(OR(INDEX(tblTrans[ProductID],414)="",ISNUMBER(SEARCH("ProductID",INDEX(tblTrans[ProductID],414)))),"",INDEX(tblTrans[Type],414)),"")</f>
        <v/>
      </c>
      <c r="F415" t="str">
        <f>IFERROR(IF(OR(INDEX(tblTrans[ProductID],414)="",ISNUMBER(SEARCH("ProductID",INDEX(tblTrans[ProductID],414)))),"",_xlfn.XLOOKUP(B415,tblProducts[ProductID],tblProducts[ProductName],"")),"")</f>
        <v/>
      </c>
      <c r="G415" t="str">
        <f>IFERROR(IF(OR(INDEX(tblTrans[ProductID],414)="",ISNUMBER(SEARCH("ProductID",INDEX(tblTrans[ProductID],414)))),"",_xlfn.XLOOKUP(B415,tblProducts[ProductID],tblProducts[Category],"")),"")</f>
        <v/>
      </c>
      <c r="H415" t="str">
        <f>IFERROR(IF(OR(INDEX(tblTrans[ProductID],414)="",ISNUMBER(SEARCH("ProductID",INDEX(tblTrans[ProductID],414)))),"",_xlfn.XLOOKUP(B415,tblProducts[ProductID],tblProducts[Supplier],"")),"")</f>
        <v/>
      </c>
      <c r="I415" t="str">
        <f>IFERROR(IF(OR(INDEX(tblTrans[ProductID],414)="",ISNUMBER(SEARCH("ProductID",INDEX(tblTrans[ProductID],414)))),"",D415*_xlfn.XLOOKUP(B415,tblProducts[ProductID],tblProducts[UnitCost],0)),"")</f>
        <v/>
      </c>
    </row>
    <row r="416" spans="1:9" x14ac:dyDescent="0.3">
      <c r="A416" s="5" t="str">
        <f>IFERROR(IF(OR(INDEX(tblTrans[ProductID],415)="",ISNUMBER(SEARCH("ProductID",INDEX(tblTrans[ProductID],415)))),"",INDEX(tblTrans[Date],415)),"")</f>
        <v/>
      </c>
      <c r="B416" t="str">
        <f>IFERROR(IF(OR(INDEX(tblTrans[ProductID],415)="",ISNUMBER(SEARCH("ProductID",INDEX(tblTrans[ProductID],415)))),"",INDEX(tblTrans[ProductID],415)),"")</f>
        <v/>
      </c>
      <c r="C416" t="str">
        <f>IFERROR(IF(OR(INDEX(tblTrans[ProductID],415)="",ISNUMBER(SEARCH("ProductID",INDEX(tblTrans[ProductID],415)))),"",INDEX(tblTrans[Location],415)),"")</f>
        <v/>
      </c>
      <c r="D416" t="str">
        <f>IFERROR(IF(OR(INDEX(tblTrans[ProductID],415)="",ISNUMBER(SEARCH("ProductID",INDEX(tblTrans[ProductID],415)))),"",INDEX(tblTrans[Quantity],415)),"")</f>
        <v/>
      </c>
      <c r="E416" t="str">
        <f>IFERROR(IF(OR(INDEX(tblTrans[ProductID],415)="",ISNUMBER(SEARCH("ProductID",INDEX(tblTrans[ProductID],415)))),"",INDEX(tblTrans[Type],415)),"")</f>
        <v/>
      </c>
      <c r="F416" t="str">
        <f>IFERROR(IF(OR(INDEX(tblTrans[ProductID],415)="",ISNUMBER(SEARCH("ProductID",INDEX(tblTrans[ProductID],415)))),"",_xlfn.XLOOKUP(B416,tblProducts[ProductID],tblProducts[ProductName],"")),"")</f>
        <v/>
      </c>
      <c r="G416" t="str">
        <f>IFERROR(IF(OR(INDEX(tblTrans[ProductID],415)="",ISNUMBER(SEARCH("ProductID",INDEX(tblTrans[ProductID],415)))),"",_xlfn.XLOOKUP(B416,tblProducts[ProductID],tblProducts[Category],"")),"")</f>
        <v/>
      </c>
      <c r="H416" t="str">
        <f>IFERROR(IF(OR(INDEX(tblTrans[ProductID],415)="",ISNUMBER(SEARCH("ProductID",INDEX(tblTrans[ProductID],415)))),"",_xlfn.XLOOKUP(B416,tblProducts[ProductID],tblProducts[Supplier],"")),"")</f>
        <v/>
      </c>
      <c r="I416" t="str">
        <f>IFERROR(IF(OR(INDEX(tblTrans[ProductID],415)="",ISNUMBER(SEARCH("ProductID",INDEX(tblTrans[ProductID],415)))),"",D416*_xlfn.XLOOKUP(B416,tblProducts[ProductID],tblProducts[UnitCost],0)),"")</f>
        <v/>
      </c>
    </row>
    <row r="417" spans="1:9" x14ac:dyDescent="0.3">
      <c r="A417" s="5" t="str">
        <f>IFERROR(IF(OR(INDEX(tblTrans[ProductID],416)="",ISNUMBER(SEARCH("ProductID",INDEX(tblTrans[ProductID],416)))),"",INDEX(tblTrans[Date],416)),"")</f>
        <v/>
      </c>
      <c r="B417" t="str">
        <f>IFERROR(IF(OR(INDEX(tblTrans[ProductID],416)="",ISNUMBER(SEARCH("ProductID",INDEX(tblTrans[ProductID],416)))),"",INDEX(tblTrans[ProductID],416)),"")</f>
        <v/>
      </c>
      <c r="C417" t="str">
        <f>IFERROR(IF(OR(INDEX(tblTrans[ProductID],416)="",ISNUMBER(SEARCH("ProductID",INDEX(tblTrans[ProductID],416)))),"",INDEX(tblTrans[Location],416)),"")</f>
        <v/>
      </c>
      <c r="D417" t="str">
        <f>IFERROR(IF(OR(INDEX(tblTrans[ProductID],416)="",ISNUMBER(SEARCH("ProductID",INDEX(tblTrans[ProductID],416)))),"",INDEX(tblTrans[Quantity],416)),"")</f>
        <v/>
      </c>
      <c r="E417" t="str">
        <f>IFERROR(IF(OR(INDEX(tblTrans[ProductID],416)="",ISNUMBER(SEARCH("ProductID",INDEX(tblTrans[ProductID],416)))),"",INDEX(tblTrans[Type],416)),"")</f>
        <v/>
      </c>
      <c r="F417" t="str">
        <f>IFERROR(IF(OR(INDEX(tblTrans[ProductID],416)="",ISNUMBER(SEARCH("ProductID",INDEX(tblTrans[ProductID],416)))),"",_xlfn.XLOOKUP(B417,tblProducts[ProductID],tblProducts[ProductName],"")),"")</f>
        <v/>
      </c>
      <c r="G417" t="str">
        <f>IFERROR(IF(OR(INDEX(tblTrans[ProductID],416)="",ISNUMBER(SEARCH("ProductID",INDEX(tblTrans[ProductID],416)))),"",_xlfn.XLOOKUP(B417,tblProducts[ProductID],tblProducts[Category],"")),"")</f>
        <v/>
      </c>
      <c r="H417" t="str">
        <f>IFERROR(IF(OR(INDEX(tblTrans[ProductID],416)="",ISNUMBER(SEARCH("ProductID",INDEX(tblTrans[ProductID],416)))),"",_xlfn.XLOOKUP(B417,tblProducts[ProductID],tblProducts[Supplier],"")),"")</f>
        <v/>
      </c>
      <c r="I417" t="str">
        <f>IFERROR(IF(OR(INDEX(tblTrans[ProductID],416)="",ISNUMBER(SEARCH("ProductID",INDEX(tblTrans[ProductID],416)))),"",D417*_xlfn.XLOOKUP(B417,tblProducts[ProductID],tblProducts[UnitCost],0)),"")</f>
        <v/>
      </c>
    </row>
    <row r="418" spans="1:9" x14ac:dyDescent="0.3">
      <c r="A418" s="5" t="str">
        <f>IFERROR(IF(OR(INDEX(tblTrans[ProductID],417)="",ISNUMBER(SEARCH("ProductID",INDEX(tblTrans[ProductID],417)))),"",INDEX(tblTrans[Date],417)),"")</f>
        <v/>
      </c>
      <c r="B418" t="str">
        <f>IFERROR(IF(OR(INDEX(tblTrans[ProductID],417)="",ISNUMBER(SEARCH("ProductID",INDEX(tblTrans[ProductID],417)))),"",INDEX(tblTrans[ProductID],417)),"")</f>
        <v/>
      </c>
      <c r="C418" t="str">
        <f>IFERROR(IF(OR(INDEX(tblTrans[ProductID],417)="",ISNUMBER(SEARCH("ProductID",INDEX(tblTrans[ProductID],417)))),"",INDEX(tblTrans[Location],417)),"")</f>
        <v/>
      </c>
      <c r="D418" t="str">
        <f>IFERROR(IF(OR(INDEX(tblTrans[ProductID],417)="",ISNUMBER(SEARCH("ProductID",INDEX(tblTrans[ProductID],417)))),"",INDEX(tblTrans[Quantity],417)),"")</f>
        <v/>
      </c>
      <c r="E418" t="str">
        <f>IFERROR(IF(OR(INDEX(tblTrans[ProductID],417)="",ISNUMBER(SEARCH("ProductID",INDEX(tblTrans[ProductID],417)))),"",INDEX(tblTrans[Type],417)),"")</f>
        <v/>
      </c>
      <c r="F418" t="str">
        <f>IFERROR(IF(OR(INDEX(tblTrans[ProductID],417)="",ISNUMBER(SEARCH("ProductID",INDEX(tblTrans[ProductID],417)))),"",_xlfn.XLOOKUP(B418,tblProducts[ProductID],tblProducts[ProductName],"")),"")</f>
        <v/>
      </c>
      <c r="G418" t="str">
        <f>IFERROR(IF(OR(INDEX(tblTrans[ProductID],417)="",ISNUMBER(SEARCH("ProductID",INDEX(tblTrans[ProductID],417)))),"",_xlfn.XLOOKUP(B418,tblProducts[ProductID],tblProducts[Category],"")),"")</f>
        <v/>
      </c>
      <c r="H418" t="str">
        <f>IFERROR(IF(OR(INDEX(tblTrans[ProductID],417)="",ISNUMBER(SEARCH("ProductID",INDEX(tblTrans[ProductID],417)))),"",_xlfn.XLOOKUP(B418,tblProducts[ProductID],tblProducts[Supplier],"")),"")</f>
        <v/>
      </c>
      <c r="I418" t="str">
        <f>IFERROR(IF(OR(INDEX(tblTrans[ProductID],417)="",ISNUMBER(SEARCH("ProductID",INDEX(tblTrans[ProductID],417)))),"",D418*_xlfn.XLOOKUP(B418,tblProducts[ProductID],tblProducts[UnitCost],0)),"")</f>
        <v/>
      </c>
    </row>
    <row r="419" spans="1:9" x14ac:dyDescent="0.3">
      <c r="A419" s="5" t="str">
        <f>IFERROR(IF(OR(INDEX(tblTrans[ProductID],418)="",ISNUMBER(SEARCH("ProductID",INDEX(tblTrans[ProductID],418)))),"",INDEX(tblTrans[Date],418)),"")</f>
        <v/>
      </c>
      <c r="B419" t="str">
        <f>IFERROR(IF(OR(INDEX(tblTrans[ProductID],418)="",ISNUMBER(SEARCH("ProductID",INDEX(tblTrans[ProductID],418)))),"",INDEX(tblTrans[ProductID],418)),"")</f>
        <v/>
      </c>
      <c r="C419" t="str">
        <f>IFERROR(IF(OR(INDEX(tblTrans[ProductID],418)="",ISNUMBER(SEARCH("ProductID",INDEX(tblTrans[ProductID],418)))),"",INDEX(tblTrans[Location],418)),"")</f>
        <v/>
      </c>
      <c r="D419" t="str">
        <f>IFERROR(IF(OR(INDEX(tblTrans[ProductID],418)="",ISNUMBER(SEARCH("ProductID",INDEX(tblTrans[ProductID],418)))),"",INDEX(tblTrans[Quantity],418)),"")</f>
        <v/>
      </c>
      <c r="E419" t="str">
        <f>IFERROR(IF(OR(INDEX(tblTrans[ProductID],418)="",ISNUMBER(SEARCH("ProductID",INDEX(tblTrans[ProductID],418)))),"",INDEX(tblTrans[Type],418)),"")</f>
        <v/>
      </c>
      <c r="F419" t="str">
        <f>IFERROR(IF(OR(INDEX(tblTrans[ProductID],418)="",ISNUMBER(SEARCH("ProductID",INDEX(tblTrans[ProductID],418)))),"",_xlfn.XLOOKUP(B419,tblProducts[ProductID],tblProducts[ProductName],"")),"")</f>
        <v/>
      </c>
      <c r="G419" t="str">
        <f>IFERROR(IF(OR(INDEX(tblTrans[ProductID],418)="",ISNUMBER(SEARCH("ProductID",INDEX(tblTrans[ProductID],418)))),"",_xlfn.XLOOKUP(B419,tblProducts[ProductID],tblProducts[Category],"")),"")</f>
        <v/>
      </c>
      <c r="H419" t="str">
        <f>IFERROR(IF(OR(INDEX(tblTrans[ProductID],418)="",ISNUMBER(SEARCH("ProductID",INDEX(tblTrans[ProductID],418)))),"",_xlfn.XLOOKUP(B419,tblProducts[ProductID],tblProducts[Supplier],"")),"")</f>
        <v/>
      </c>
      <c r="I419" t="str">
        <f>IFERROR(IF(OR(INDEX(tblTrans[ProductID],418)="",ISNUMBER(SEARCH("ProductID",INDEX(tblTrans[ProductID],418)))),"",D419*_xlfn.XLOOKUP(B419,tblProducts[ProductID],tblProducts[UnitCost],0)),"")</f>
        <v/>
      </c>
    </row>
    <row r="420" spans="1:9" x14ac:dyDescent="0.3">
      <c r="A420" s="5" t="str">
        <f>IFERROR(IF(OR(INDEX(tblTrans[ProductID],419)="",ISNUMBER(SEARCH("ProductID",INDEX(tblTrans[ProductID],419)))),"",INDEX(tblTrans[Date],419)),"")</f>
        <v/>
      </c>
      <c r="B420" t="str">
        <f>IFERROR(IF(OR(INDEX(tblTrans[ProductID],419)="",ISNUMBER(SEARCH("ProductID",INDEX(tblTrans[ProductID],419)))),"",INDEX(tblTrans[ProductID],419)),"")</f>
        <v/>
      </c>
      <c r="C420" t="str">
        <f>IFERROR(IF(OR(INDEX(tblTrans[ProductID],419)="",ISNUMBER(SEARCH("ProductID",INDEX(tblTrans[ProductID],419)))),"",INDEX(tblTrans[Location],419)),"")</f>
        <v/>
      </c>
      <c r="D420" t="str">
        <f>IFERROR(IF(OR(INDEX(tblTrans[ProductID],419)="",ISNUMBER(SEARCH("ProductID",INDEX(tblTrans[ProductID],419)))),"",INDEX(tblTrans[Quantity],419)),"")</f>
        <v/>
      </c>
      <c r="E420" t="str">
        <f>IFERROR(IF(OR(INDEX(tblTrans[ProductID],419)="",ISNUMBER(SEARCH("ProductID",INDEX(tblTrans[ProductID],419)))),"",INDEX(tblTrans[Type],419)),"")</f>
        <v/>
      </c>
      <c r="F420" t="str">
        <f>IFERROR(IF(OR(INDEX(tblTrans[ProductID],419)="",ISNUMBER(SEARCH("ProductID",INDEX(tblTrans[ProductID],419)))),"",_xlfn.XLOOKUP(B420,tblProducts[ProductID],tblProducts[ProductName],"")),"")</f>
        <v/>
      </c>
      <c r="G420" t="str">
        <f>IFERROR(IF(OR(INDEX(tblTrans[ProductID],419)="",ISNUMBER(SEARCH("ProductID",INDEX(tblTrans[ProductID],419)))),"",_xlfn.XLOOKUP(B420,tblProducts[ProductID],tblProducts[Category],"")),"")</f>
        <v/>
      </c>
      <c r="H420" t="str">
        <f>IFERROR(IF(OR(INDEX(tblTrans[ProductID],419)="",ISNUMBER(SEARCH("ProductID",INDEX(tblTrans[ProductID],419)))),"",_xlfn.XLOOKUP(B420,tblProducts[ProductID],tblProducts[Supplier],"")),"")</f>
        <v/>
      </c>
      <c r="I420" t="str">
        <f>IFERROR(IF(OR(INDEX(tblTrans[ProductID],419)="",ISNUMBER(SEARCH("ProductID",INDEX(tblTrans[ProductID],419)))),"",D420*_xlfn.XLOOKUP(B420,tblProducts[ProductID],tblProducts[UnitCost],0)),"")</f>
        <v/>
      </c>
    </row>
    <row r="421" spans="1:9" x14ac:dyDescent="0.3">
      <c r="A421" s="5" t="str">
        <f>IFERROR(IF(OR(INDEX(tblTrans[ProductID],420)="",ISNUMBER(SEARCH("ProductID",INDEX(tblTrans[ProductID],420)))),"",INDEX(tblTrans[Date],420)),"")</f>
        <v/>
      </c>
      <c r="B421" t="str">
        <f>IFERROR(IF(OR(INDEX(tblTrans[ProductID],420)="",ISNUMBER(SEARCH("ProductID",INDEX(tblTrans[ProductID],420)))),"",INDEX(tblTrans[ProductID],420)),"")</f>
        <v/>
      </c>
      <c r="C421" t="str">
        <f>IFERROR(IF(OR(INDEX(tblTrans[ProductID],420)="",ISNUMBER(SEARCH("ProductID",INDEX(tblTrans[ProductID],420)))),"",INDEX(tblTrans[Location],420)),"")</f>
        <v/>
      </c>
      <c r="D421" t="str">
        <f>IFERROR(IF(OR(INDEX(tblTrans[ProductID],420)="",ISNUMBER(SEARCH("ProductID",INDEX(tblTrans[ProductID],420)))),"",INDEX(tblTrans[Quantity],420)),"")</f>
        <v/>
      </c>
      <c r="E421" t="str">
        <f>IFERROR(IF(OR(INDEX(tblTrans[ProductID],420)="",ISNUMBER(SEARCH("ProductID",INDEX(tblTrans[ProductID],420)))),"",INDEX(tblTrans[Type],420)),"")</f>
        <v/>
      </c>
      <c r="F421" t="str">
        <f>IFERROR(IF(OR(INDEX(tblTrans[ProductID],420)="",ISNUMBER(SEARCH("ProductID",INDEX(tblTrans[ProductID],420)))),"",_xlfn.XLOOKUP(B421,tblProducts[ProductID],tblProducts[ProductName],"")),"")</f>
        <v/>
      </c>
      <c r="G421" t="str">
        <f>IFERROR(IF(OR(INDEX(tblTrans[ProductID],420)="",ISNUMBER(SEARCH("ProductID",INDEX(tblTrans[ProductID],420)))),"",_xlfn.XLOOKUP(B421,tblProducts[ProductID],tblProducts[Category],"")),"")</f>
        <v/>
      </c>
      <c r="H421" t="str">
        <f>IFERROR(IF(OR(INDEX(tblTrans[ProductID],420)="",ISNUMBER(SEARCH("ProductID",INDEX(tblTrans[ProductID],420)))),"",_xlfn.XLOOKUP(B421,tblProducts[ProductID],tblProducts[Supplier],"")),"")</f>
        <v/>
      </c>
      <c r="I421" t="str">
        <f>IFERROR(IF(OR(INDEX(tblTrans[ProductID],420)="",ISNUMBER(SEARCH("ProductID",INDEX(tblTrans[ProductID],420)))),"",D421*_xlfn.XLOOKUP(B421,tblProducts[ProductID],tblProducts[UnitCost],0)),"")</f>
        <v/>
      </c>
    </row>
    <row r="422" spans="1:9" x14ac:dyDescent="0.3">
      <c r="A422" s="5" t="str">
        <f>IFERROR(IF(OR(INDEX(tblTrans[ProductID],421)="",ISNUMBER(SEARCH("ProductID",INDEX(tblTrans[ProductID],421)))),"",INDEX(tblTrans[Date],421)),"")</f>
        <v/>
      </c>
      <c r="B422" t="str">
        <f>IFERROR(IF(OR(INDEX(tblTrans[ProductID],421)="",ISNUMBER(SEARCH("ProductID",INDEX(tblTrans[ProductID],421)))),"",INDEX(tblTrans[ProductID],421)),"")</f>
        <v/>
      </c>
      <c r="C422" t="str">
        <f>IFERROR(IF(OR(INDEX(tblTrans[ProductID],421)="",ISNUMBER(SEARCH("ProductID",INDEX(tblTrans[ProductID],421)))),"",INDEX(tblTrans[Location],421)),"")</f>
        <v/>
      </c>
      <c r="D422" t="str">
        <f>IFERROR(IF(OR(INDEX(tblTrans[ProductID],421)="",ISNUMBER(SEARCH("ProductID",INDEX(tblTrans[ProductID],421)))),"",INDEX(tblTrans[Quantity],421)),"")</f>
        <v/>
      </c>
      <c r="E422" t="str">
        <f>IFERROR(IF(OR(INDEX(tblTrans[ProductID],421)="",ISNUMBER(SEARCH("ProductID",INDEX(tblTrans[ProductID],421)))),"",INDEX(tblTrans[Type],421)),"")</f>
        <v/>
      </c>
      <c r="F422" t="str">
        <f>IFERROR(IF(OR(INDEX(tblTrans[ProductID],421)="",ISNUMBER(SEARCH("ProductID",INDEX(tblTrans[ProductID],421)))),"",_xlfn.XLOOKUP(B422,tblProducts[ProductID],tblProducts[ProductName],"")),"")</f>
        <v/>
      </c>
      <c r="G422" t="str">
        <f>IFERROR(IF(OR(INDEX(tblTrans[ProductID],421)="",ISNUMBER(SEARCH("ProductID",INDEX(tblTrans[ProductID],421)))),"",_xlfn.XLOOKUP(B422,tblProducts[ProductID],tblProducts[Category],"")),"")</f>
        <v/>
      </c>
      <c r="H422" t="str">
        <f>IFERROR(IF(OR(INDEX(tblTrans[ProductID],421)="",ISNUMBER(SEARCH("ProductID",INDEX(tblTrans[ProductID],421)))),"",_xlfn.XLOOKUP(B422,tblProducts[ProductID],tblProducts[Supplier],"")),"")</f>
        <v/>
      </c>
      <c r="I422" t="str">
        <f>IFERROR(IF(OR(INDEX(tblTrans[ProductID],421)="",ISNUMBER(SEARCH("ProductID",INDEX(tblTrans[ProductID],421)))),"",D422*_xlfn.XLOOKUP(B422,tblProducts[ProductID],tblProducts[UnitCost],0)),"")</f>
        <v/>
      </c>
    </row>
    <row r="423" spans="1:9" x14ac:dyDescent="0.3">
      <c r="A423" s="5" t="str">
        <f>IFERROR(IF(OR(INDEX(tblTrans[ProductID],422)="",ISNUMBER(SEARCH("ProductID",INDEX(tblTrans[ProductID],422)))),"",INDEX(tblTrans[Date],422)),"")</f>
        <v/>
      </c>
      <c r="B423" t="str">
        <f>IFERROR(IF(OR(INDEX(tblTrans[ProductID],422)="",ISNUMBER(SEARCH("ProductID",INDEX(tblTrans[ProductID],422)))),"",INDEX(tblTrans[ProductID],422)),"")</f>
        <v/>
      </c>
      <c r="C423" t="str">
        <f>IFERROR(IF(OR(INDEX(tblTrans[ProductID],422)="",ISNUMBER(SEARCH("ProductID",INDEX(tblTrans[ProductID],422)))),"",INDEX(tblTrans[Location],422)),"")</f>
        <v/>
      </c>
      <c r="D423" t="str">
        <f>IFERROR(IF(OR(INDEX(tblTrans[ProductID],422)="",ISNUMBER(SEARCH("ProductID",INDEX(tblTrans[ProductID],422)))),"",INDEX(tblTrans[Quantity],422)),"")</f>
        <v/>
      </c>
      <c r="E423" t="str">
        <f>IFERROR(IF(OR(INDEX(tblTrans[ProductID],422)="",ISNUMBER(SEARCH("ProductID",INDEX(tblTrans[ProductID],422)))),"",INDEX(tblTrans[Type],422)),"")</f>
        <v/>
      </c>
      <c r="F423" t="str">
        <f>IFERROR(IF(OR(INDEX(tblTrans[ProductID],422)="",ISNUMBER(SEARCH("ProductID",INDEX(tblTrans[ProductID],422)))),"",_xlfn.XLOOKUP(B423,tblProducts[ProductID],tblProducts[ProductName],"")),"")</f>
        <v/>
      </c>
      <c r="G423" t="str">
        <f>IFERROR(IF(OR(INDEX(tblTrans[ProductID],422)="",ISNUMBER(SEARCH("ProductID",INDEX(tblTrans[ProductID],422)))),"",_xlfn.XLOOKUP(B423,tblProducts[ProductID],tblProducts[Category],"")),"")</f>
        <v/>
      </c>
      <c r="H423" t="str">
        <f>IFERROR(IF(OR(INDEX(tblTrans[ProductID],422)="",ISNUMBER(SEARCH("ProductID",INDEX(tblTrans[ProductID],422)))),"",_xlfn.XLOOKUP(B423,tblProducts[ProductID],tblProducts[Supplier],"")),"")</f>
        <v/>
      </c>
      <c r="I423" t="str">
        <f>IFERROR(IF(OR(INDEX(tblTrans[ProductID],422)="",ISNUMBER(SEARCH("ProductID",INDEX(tblTrans[ProductID],422)))),"",D423*_xlfn.XLOOKUP(B423,tblProducts[ProductID],tblProducts[UnitCost],0)),"")</f>
        <v/>
      </c>
    </row>
    <row r="424" spans="1:9" x14ac:dyDescent="0.3">
      <c r="A424" s="5" t="str">
        <f>IFERROR(IF(OR(INDEX(tblTrans[ProductID],423)="",ISNUMBER(SEARCH("ProductID",INDEX(tblTrans[ProductID],423)))),"",INDEX(tblTrans[Date],423)),"")</f>
        <v/>
      </c>
      <c r="B424" t="str">
        <f>IFERROR(IF(OR(INDEX(tblTrans[ProductID],423)="",ISNUMBER(SEARCH("ProductID",INDEX(tblTrans[ProductID],423)))),"",INDEX(tblTrans[ProductID],423)),"")</f>
        <v/>
      </c>
      <c r="C424" t="str">
        <f>IFERROR(IF(OR(INDEX(tblTrans[ProductID],423)="",ISNUMBER(SEARCH("ProductID",INDEX(tblTrans[ProductID],423)))),"",INDEX(tblTrans[Location],423)),"")</f>
        <v/>
      </c>
      <c r="D424" t="str">
        <f>IFERROR(IF(OR(INDEX(tblTrans[ProductID],423)="",ISNUMBER(SEARCH("ProductID",INDEX(tblTrans[ProductID],423)))),"",INDEX(tblTrans[Quantity],423)),"")</f>
        <v/>
      </c>
      <c r="E424" t="str">
        <f>IFERROR(IF(OR(INDEX(tblTrans[ProductID],423)="",ISNUMBER(SEARCH("ProductID",INDEX(tblTrans[ProductID],423)))),"",INDEX(tblTrans[Type],423)),"")</f>
        <v/>
      </c>
      <c r="F424" t="str">
        <f>IFERROR(IF(OR(INDEX(tblTrans[ProductID],423)="",ISNUMBER(SEARCH("ProductID",INDEX(tblTrans[ProductID],423)))),"",_xlfn.XLOOKUP(B424,tblProducts[ProductID],tblProducts[ProductName],"")),"")</f>
        <v/>
      </c>
      <c r="G424" t="str">
        <f>IFERROR(IF(OR(INDEX(tblTrans[ProductID],423)="",ISNUMBER(SEARCH("ProductID",INDEX(tblTrans[ProductID],423)))),"",_xlfn.XLOOKUP(B424,tblProducts[ProductID],tblProducts[Category],"")),"")</f>
        <v/>
      </c>
      <c r="H424" t="str">
        <f>IFERROR(IF(OR(INDEX(tblTrans[ProductID],423)="",ISNUMBER(SEARCH("ProductID",INDEX(tblTrans[ProductID],423)))),"",_xlfn.XLOOKUP(B424,tblProducts[ProductID],tblProducts[Supplier],"")),"")</f>
        <v/>
      </c>
      <c r="I424" t="str">
        <f>IFERROR(IF(OR(INDEX(tblTrans[ProductID],423)="",ISNUMBER(SEARCH("ProductID",INDEX(tblTrans[ProductID],423)))),"",D424*_xlfn.XLOOKUP(B424,tblProducts[ProductID],tblProducts[UnitCost],0)),"")</f>
        <v/>
      </c>
    </row>
    <row r="425" spans="1:9" x14ac:dyDescent="0.3">
      <c r="A425" s="5" t="str">
        <f>IFERROR(IF(OR(INDEX(tblTrans[ProductID],424)="",ISNUMBER(SEARCH("ProductID",INDEX(tblTrans[ProductID],424)))),"",INDEX(tblTrans[Date],424)),"")</f>
        <v/>
      </c>
      <c r="B425" t="str">
        <f>IFERROR(IF(OR(INDEX(tblTrans[ProductID],424)="",ISNUMBER(SEARCH("ProductID",INDEX(tblTrans[ProductID],424)))),"",INDEX(tblTrans[ProductID],424)),"")</f>
        <v/>
      </c>
      <c r="C425" t="str">
        <f>IFERROR(IF(OR(INDEX(tblTrans[ProductID],424)="",ISNUMBER(SEARCH("ProductID",INDEX(tblTrans[ProductID],424)))),"",INDEX(tblTrans[Location],424)),"")</f>
        <v/>
      </c>
      <c r="D425" t="str">
        <f>IFERROR(IF(OR(INDEX(tblTrans[ProductID],424)="",ISNUMBER(SEARCH("ProductID",INDEX(tblTrans[ProductID],424)))),"",INDEX(tblTrans[Quantity],424)),"")</f>
        <v/>
      </c>
      <c r="E425" t="str">
        <f>IFERROR(IF(OR(INDEX(tblTrans[ProductID],424)="",ISNUMBER(SEARCH("ProductID",INDEX(tblTrans[ProductID],424)))),"",INDEX(tblTrans[Type],424)),"")</f>
        <v/>
      </c>
      <c r="F425" t="str">
        <f>IFERROR(IF(OR(INDEX(tblTrans[ProductID],424)="",ISNUMBER(SEARCH("ProductID",INDEX(tblTrans[ProductID],424)))),"",_xlfn.XLOOKUP(B425,tblProducts[ProductID],tblProducts[ProductName],"")),"")</f>
        <v/>
      </c>
      <c r="G425" t="str">
        <f>IFERROR(IF(OR(INDEX(tblTrans[ProductID],424)="",ISNUMBER(SEARCH("ProductID",INDEX(tblTrans[ProductID],424)))),"",_xlfn.XLOOKUP(B425,tblProducts[ProductID],tblProducts[Category],"")),"")</f>
        <v/>
      </c>
      <c r="H425" t="str">
        <f>IFERROR(IF(OR(INDEX(tblTrans[ProductID],424)="",ISNUMBER(SEARCH("ProductID",INDEX(tblTrans[ProductID],424)))),"",_xlfn.XLOOKUP(B425,tblProducts[ProductID],tblProducts[Supplier],"")),"")</f>
        <v/>
      </c>
      <c r="I425" t="str">
        <f>IFERROR(IF(OR(INDEX(tblTrans[ProductID],424)="",ISNUMBER(SEARCH("ProductID",INDEX(tblTrans[ProductID],424)))),"",D425*_xlfn.XLOOKUP(B425,tblProducts[ProductID],tblProducts[UnitCost],0)),"")</f>
        <v/>
      </c>
    </row>
    <row r="426" spans="1:9" x14ac:dyDescent="0.3">
      <c r="A426" s="5" t="str">
        <f>IFERROR(IF(OR(INDEX(tblTrans[ProductID],425)="",ISNUMBER(SEARCH("ProductID",INDEX(tblTrans[ProductID],425)))),"",INDEX(tblTrans[Date],425)),"")</f>
        <v/>
      </c>
      <c r="B426" t="str">
        <f>IFERROR(IF(OR(INDEX(tblTrans[ProductID],425)="",ISNUMBER(SEARCH("ProductID",INDEX(tblTrans[ProductID],425)))),"",INDEX(tblTrans[ProductID],425)),"")</f>
        <v/>
      </c>
      <c r="C426" t="str">
        <f>IFERROR(IF(OR(INDEX(tblTrans[ProductID],425)="",ISNUMBER(SEARCH("ProductID",INDEX(tblTrans[ProductID],425)))),"",INDEX(tblTrans[Location],425)),"")</f>
        <v/>
      </c>
      <c r="D426" t="str">
        <f>IFERROR(IF(OR(INDEX(tblTrans[ProductID],425)="",ISNUMBER(SEARCH("ProductID",INDEX(tblTrans[ProductID],425)))),"",INDEX(tblTrans[Quantity],425)),"")</f>
        <v/>
      </c>
      <c r="E426" t="str">
        <f>IFERROR(IF(OR(INDEX(tblTrans[ProductID],425)="",ISNUMBER(SEARCH("ProductID",INDEX(tblTrans[ProductID],425)))),"",INDEX(tblTrans[Type],425)),"")</f>
        <v/>
      </c>
      <c r="F426" t="str">
        <f>IFERROR(IF(OR(INDEX(tblTrans[ProductID],425)="",ISNUMBER(SEARCH("ProductID",INDEX(tblTrans[ProductID],425)))),"",_xlfn.XLOOKUP(B426,tblProducts[ProductID],tblProducts[ProductName],"")),"")</f>
        <v/>
      </c>
      <c r="G426" t="str">
        <f>IFERROR(IF(OR(INDEX(tblTrans[ProductID],425)="",ISNUMBER(SEARCH("ProductID",INDEX(tblTrans[ProductID],425)))),"",_xlfn.XLOOKUP(B426,tblProducts[ProductID],tblProducts[Category],"")),"")</f>
        <v/>
      </c>
      <c r="H426" t="str">
        <f>IFERROR(IF(OR(INDEX(tblTrans[ProductID],425)="",ISNUMBER(SEARCH("ProductID",INDEX(tblTrans[ProductID],425)))),"",_xlfn.XLOOKUP(B426,tblProducts[ProductID],tblProducts[Supplier],"")),"")</f>
        <v/>
      </c>
      <c r="I426" t="str">
        <f>IFERROR(IF(OR(INDEX(tblTrans[ProductID],425)="",ISNUMBER(SEARCH("ProductID",INDEX(tblTrans[ProductID],425)))),"",D426*_xlfn.XLOOKUP(B426,tblProducts[ProductID],tblProducts[UnitCost],0)),"")</f>
        <v/>
      </c>
    </row>
    <row r="427" spans="1:9" x14ac:dyDescent="0.3">
      <c r="A427" s="5" t="str">
        <f>IFERROR(IF(OR(INDEX(tblTrans[ProductID],426)="",ISNUMBER(SEARCH("ProductID",INDEX(tblTrans[ProductID],426)))),"",INDEX(tblTrans[Date],426)),"")</f>
        <v/>
      </c>
      <c r="B427" t="str">
        <f>IFERROR(IF(OR(INDEX(tblTrans[ProductID],426)="",ISNUMBER(SEARCH("ProductID",INDEX(tblTrans[ProductID],426)))),"",INDEX(tblTrans[ProductID],426)),"")</f>
        <v/>
      </c>
      <c r="C427" t="str">
        <f>IFERROR(IF(OR(INDEX(tblTrans[ProductID],426)="",ISNUMBER(SEARCH("ProductID",INDEX(tblTrans[ProductID],426)))),"",INDEX(tblTrans[Location],426)),"")</f>
        <v/>
      </c>
      <c r="D427" t="str">
        <f>IFERROR(IF(OR(INDEX(tblTrans[ProductID],426)="",ISNUMBER(SEARCH("ProductID",INDEX(tblTrans[ProductID],426)))),"",INDEX(tblTrans[Quantity],426)),"")</f>
        <v/>
      </c>
      <c r="E427" t="str">
        <f>IFERROR(IF(OR(INDEX(tblTrans[ProductID],426)="",ISNUMBER(SEARCH("ProductID",INDEX(tblTrans[ProductID],426)))),"",INDEX(tblTrans[Type],426)),"")</f>
        <v/>
      </c>
      <c r="F427" t="str">
        <f>IFERROR(IF(OR(INDEX(tblTrans[ProductID],426)="",ISNUMBER(SEARCH("ProductID",INDEX(tblTrans[ProductID],426)))),"",_xlfn.XLOOKUP(B427,tblProducts[ProductID],tblProducts[ProductName],"")),"")</f>
        <v/>
      </c>
      <c r="G427" t="str">
        <f>IFERROR(IF(OR(INDEX(tblTrans[ProductID],426)="",ISNUMBER(SEARCH("ProductID",INDEX(tblTrans[ProductID],426)))),"",_xlfn.XLOOKUP(B427,tblProducts[ProductID],tblProducts[Category],"")),"")</f>
        <v/>
      </c>
      <c r="H427" t="str">
        <f>IFERROR(IF(OR(INDEX(tblTrans[ProductID],426)="",ISNUMBER(SEARCH("ProductID",INDEX(tblTrans[ProductID],426)))),"",_xlfn.XLOOKUP(B427,tblProducts[ProductID],tblProducts[Supplier],"")),"")</f>
        <v/>
      </c>
      <c r="I427" t="str">
        <f>IFERROR(IF(OR(INDEX(tblTrans[ProductID],426)="",ISNUMBER(SEARCH("ProductID",INDEX(tblTrans[ProductID],426)))),"",D427*_xlfn.XLOOKUP(B427,tblProducts[ProductID],tblProducts[UnitCost],0)),"")</f>
        <v/>
      </c>
    </row>
    <row r="428" spans="1:9" x14ac:dyDescent="0.3">
      <c r="A428" s="5" t="str">
        <f>IFERROR(IF(OR(INDEX(tblTrans[ProductID],427)="",ISNUMBER(SEARCH("ProductID",INDEX(tblTrans[ProductID],427)))),"",INDEX(tblTrans[Date],427)),"")</f>
        <v/>
      </c>
      <c r="B428" t="str">
        <f>IFERROR(IF(OR(INDEX(tblTrans[ProductID],427)="",ISNUMBER(SEARCH("ProductID",INDEX(tblTrans[ProductID],427)))),"",INDEX(tblTrans[ProductID],427)),"")</f>
        <v/>
      </c>
      <c r="C428" t="str">
        <f>IFERROR(IF(OR(INDEX(tblTrans[ProductID],427)="",ISNUMBER(SEARCH("ProductID",INDEX(tblTrans[ProductID],427)))),"",INDEX(tblTrans[Location],427)),"")</f>
        <v/>
      </c>
      <c r="D428" t="str">
        <f>IFERROR(IF(OR(INDEX(tblTrans[ProductID],427)="",ISNUMBER(SEARCH("ProductID",INDEX(tblTrans[ProductID],427)))),"",INDEX(tblTrans[Quantity],427)),"")</f>
        <v/>
      </c>
      <c r="E428" t="str">
        <f>IFERROR(IF(OR(INDEX(tblTrans[ProductID],427)="",ISNUMBER(SEARCH("ProductID",INDEX(tblTrans[ProductID],427)))),"",INDEX(tblTrans[Type],427)),"")</f>
        <v/>
      </c>
      <c r="F428" t="str">
        <f>IFERROR(IF(OR(INDEX(tblTrans[ProductID],427)="",ISNUMBER(SEARCH("ProductID",INDEX(tblTrans[ProductID],427)))),"",_xlfn.XLOOKUP(B428,tblProducts[ProductID],tblProducts[ProductName],"")),"")</f>
        <v/>
      </c>
      <c r="G428" t="str">
        <f>IFERROR(IF(OR(INDEX(tblTrans[ProductID],427)="",ISNUMBER(SEARCH("ProductID",INDEX(tblTrans[ProductID],427)))),"",_xlfn.XLOOKUP(B428,tblProducts[ProductID],tblProducts[Category],"")),"")</f>
        <v/>
      </c>
      <c r="H428" t="str">
        <f>IFERROR(IF(OR(INDEX(tblTrans[ProductID],427)="",ISNUMBER(SEARCH("ProductID",INDEX(tblTrans[ProductID],427)))),"",_xlfn.XLOOKUP(B428,tblProducts[ProductID],tblProducts[Supplier],"")),"")</f>
        <v/>
      </c>
      <c r="I428" t="str">
        <f>IFERROR(IF(OR(INDEX(tblTrans[ProductID],427)="",ISNUMBER(SEARCH("ProductID",INDEX(tblTrans[ProductID],427)))),"",D428*_xlfn.XLOOKUP(B428,tblProducts[ProductID],tblProducts[UnitCost],0)),"")</f>
        <v/>
      </c>
    </row>
    <row r="429" spans="1:9" x14ac:dyDescent="0.3">
      <c r="A429" s="5" t="str">
        <f>IFERROR(IF(OR(INDEX(tblTrans[ProductID],428)="",ISNUMBER(SEARCH("ProductID",INDEX(tblTrans[ProductID],428)))),"",INDEX(tblTrans[Date],428)),"")</f>
        <v/>
      </c>
      <c r="B429" t="str">
        <f>IFERROR(IF(OR(INDEX(tblTrans[ProductID],428)="",ISNUMBER(SEARCH("ProductID",INDEX(tblTrans[ProductID],428)))),"",INDEX(tblTrans[ProductID],428)),"")</f>
        <v/>
      </c>
      <c r="C429" t="str">
        <f>IFERROR(IF(OR(INDEX(tblTrans[ProductID],428)="",ISNUMBER(SEARCH("ProductID",INDEX(tblTrans[ProductID],428)))),"",INDEX(tblTrans[Location],428)),"")</f>
        <v/>
      </c>
      <c r="D429" t="str">
        <f>IFERROR(IF(OR(INDEX(tblTrans[ProductID],428)="",ISNUMBER(SEARCH("ProductID",INDEX(tblTrans[ProductID],428)))),"",INDEX(tblTrans[Quantity],428)),"")</f>
        <v/>
      </c>
      <c r="E429" t="str">
        <f>IFERROR(IF(OR(INDEX(tblTrans[ProductID],428)="",ISNUMBER(SEARCH("ProductID",INDEX(tblTrans[ProductID],428)))),"",INDEX(tblTrans[Type],428)),"")</f>
        <v/>
      </c>
      <c r="F429" t="str">
        <f>IFERROR(IF(OR(INDEX(tblTrans[ProductID],428)="",ISNUMBER(SEARCH("ProductID",INDEX(tblTrans[ProductID],428)))),"",_xlfn.XLOOKUP(B429,tblProducts[ProductID],tblProducts[ProductName],"")),"")</f>
        <v/>
      </c>
      <c r="G429" t="str">
        <f>IFERROR(IF(OR(INDEX(tblTrans[ProductID],428)="",ISNUMBER(SEARCH("ProductID",INDEX(tblTrans[ProductID],428)))),"",_xlfn.XLOOKUP(B429,tblProducts[ProductID],tblProducts[Category],"")),"")</f>
        <v/>
      </c>
      <c r="H429" t="str">
        <f>IFERROR(IF(OR(INDEX(tblTrans[ProductID],428)="",ISNUMBER(SEARCH("ProductID",INDEX(tblTrans[ProductID],428)))),"",_xlfn.XLOOKUP(B429,tblProducts[ProductID],tblProducts[Supplier],"")),"")</f>
        <v/>
      </c>
      <c r="I429" t="str">
        <f>IFERROR(IF(OR(INDEX(tblTrans[ProductID],428)="",ISNUMBER(SEARCH("ProductID",INDEX(tblTrans[ProductID],428)))),"",D429*_xlfn.XLOOKUP(B429,tblProducts[ProductID],tblProducts[UnitCost],0)),"")</f>
        <v/>
      </c>
    </row>
    <row r="430" spans="1:9" x14ac:dyDescent="0.3">
      <c r="A430" s="5" t="str">
        <f>IFERROR(IF(OR(INDEX(tblTrans[ProductID],429)="",ISNUMBER(SEARCH("ProductID",INDEX(tblTrans[ProductID],429)))),"",INDEX(tblTrans[Date],429)),"")</f>
        <v/>
      </c>
      <c r="B430" t="str">
        <f>IFERROR(IF(OR(INDEX(tblTrans[ProductID],429)="",ISNUMBER(SEARCH("ProductID",INDEX(tblTrans[ProductID],429)))),"",INDEX(tblTrans[ProductID],429)),"")</f>
        <v/>
      </c>
      <c r="C430" t="str">
        <f>IFERROR(IF(OR(INDEX(tblTrans[ProductID],429)="",ISNUMBER(SEARCH("ProductID",INDEX(tblTrans[ProductID],429)))),"",INDEX(tblTrans[Location],429)),"")</f>
        <v/>
      </c>
      <c r="D430" t="str">
        <f>IFERROR(IF(OR(INDEX(tblTrans[ProductID],429)="",ISNUMBER(SEARCH("ProductID",INDEX(tblTrans[ProductID],429)))),"",INDEX(tblTrans[Quantity],429)),"")</f>
        <v/>
      </c>
      <c r="E430" t="str">
        <f>IFERROR(IF(OR(INDEX(tblTrans[ProductID],429)="",ISNUMBER(SEARCH("ProductID",INDEX(tblTrans[ProductID],429)))),"",INDEX(tblTrans[Type],429)),"")</f>
        <v/>
      </c>
      <c r="F430" t="str">
        <f>IFERROR(IF(OR(INDEX(tblTrans[ProductID],429)="",ISNUMBER(SEARCH("ProductID",INDEX(tblTrans[ProductID],429)))),"",_xlfn.XLOOKUP(B430,tblProducts[ProductID],tblProducts[ProductName],"")),"")</f>
        <v/>
      </c>
      <c r="G430" t="str">
        <f>IFERROR(IF(OR(INDEX(tblTrans[ProductID],429)="",ISNUMBER(SEARCH("ProductID",INDEX(tblTrans[ProductID],429)))),"",_xlfn.XLOOKUP(B430,tblProducts[ProductID],tblProducts[Category],"")),"")</f>
        <v/>
      </c>
      <c r="H430" t="str">
        <f>IFERROR(IF(OR(INDEX(tblTrans[ProductID],429)="",ISNUMBER(SEARCH("ProductID",INDEX(tblTrans[ProductID],429)))),"",_xlfn.XLOOKUP(B430,tblProducts[ProductID],tblProducts[Supplier],"")),"")</f>
        <v/>
      </c>
      <c r="I430" t="str">
        <f>IFERROR(IF(OR(INDEX(tblTrans[ProductID],429)="",ISNUMBER(SEARCH("ProductID",INDEX(tblTrans[ProductID],429)))),"",D430*_xlfn.XLOOKUP(B430,tblProducts[ProductID],tblProducts[UnitCost],0)),"")</f>
        <v/>
      </c>
    </row>
    <row r="431" spans="1:9" x14ac:dyDescent="0.3">
      <c r="A431" s="5" t="str">
        <f>IFERROR(IF(OR(INDEX(tblTrans[ProductID],430)="",ISNUMBER(SEARCH("ProductID",INDEX(tblTrans[ProductID],430)))),"",INDEX(tblTrans[Date],430)),"")</f>
        <v/>
      </c>
      <c r="B431" t="str">
        <f>IFERROR(IF(OR(INDEX(tblTrans[ProductID],430)="",ISNUMBER(SEARCH("ProductID",INDEX(tblTrans[ProductID],430)))),"",INDEX(tblTrans[ProductID],430)),"")</f>
        <v/>
      </c>
      <c r="C431" t="str">
        <f>IFERROR(IF(OR(INDEX(tblTrans[ProductID],430)="",ISNUMBER(SEARCH("ProductID",INDEX(tblTrans[ProductID],430)))),"",INDEX(tblTrans[Location],430)),"")</f>
        <v/>
      </c>
      <c r="D431" t="str">
        <f>IFERROR(IF(OR(INDEX(tblTrans[ProductID],430)="",ISNUMBER(SEARCH("ProductID",INDEX(tblTrans[ProductID],430)))),"",INDEX(tblTrans[Quantity],430)),"")</f>
        <v/>
      </c>
      <c r="E431" t="str">
        <f>IFERROR(IF(OR(INDEX(tblTrans[ProductID],430)="",ISNUMBER(SEARCH("ProductID",INDEX(tblTrans[ProductID],430)))),"",INDEX(tblTrans[Type],430)),"")</f>
        <v/>
      </c>
      <c r="F431" t="str">
        <f>IFERROR(IF(OR(INDEX(tblTrans[ProductID],430)="",ISNUMBER(SEARCH("ProductID",INDEX(tblTrans[ProductID],430)))),"",_xlfn.XLOOKUP(B431,tblProducts[ProductID],tblProducts[ProductName],"")),"")</f>
        <v/>
      </c>
      <c r="G431" t="str">
        <f>IFERROR(IF(OR(INDEX(tblTrans[ProductID],430)="",ISNUMBER(SEARCH("ProductID",INDEX(tblTrans[ProductID],430)))),"",_xlfn.XLOOKUP(B431,tblProducts[ProductID],tblProducts[Category],"")),"")</f>
        <v/>
      </c>
      <c r="H431" t="str">
        <f>IFERROR(IF(OR(INDEX(tblTrans[ProductID],430)="",ISNUMBER(SEARCH("ProductID",INDEX(tblTrans[ProductID],430)))),"",_xlfn.XLOOKUP(B431,tblProducts[ProductID],tblProducts[Supplier],"")),"")</f>
        <v/>
      </c>
      <c r="I431" t="str">
        <f>IFERROR(IF(OR(INDEX(tblTrans[ProductID],430)="",ISNUMBER(SEARCH("ProductID",INDEX(tblTrans[ProductID],430)))),"",D431*_xlfn.XLOOKUP(B431,tblProducts[ProductID],tblProducts[UnitCost],0)),"")</f>
        <v/>
      </c>
    </row>
    <row r="432" spans="1:9" x14ac:dyDescent="0.3">
      <c r="A432" s="5" t="str">
        <f>IFERROR(IF(OR(INDEX(tblTrans[ProductID],431)="",ISNUMBER(SEARCH("ProductID",INDEX(tblTrans[ProductID],431)))),"",INDEX(tblTrans[Date],431)),"")</f>
        <v/>
      </c>
      <c r="B432" t="str">
        <f>IFERROR(IF(OR(INDEX(tblTrans[ProductID],431)="",ISNUMBER(SEARCH("ProductID",INDEX(tblTrans[ProductID],431)))),"",INDEX(tblTrans[ProductID],431)),"")</f>
        <v/>
      </c>
      <c r="C432" t="str">
        <f>IFERROR(IF(OR(INDEX(tblTrans[ProductID],431)="",ISNUMBER(SEARCH("ProductID",INDEX(tblTrans[ProductID],431)))),"",INDEX(tblTrans[Location],431)),"")</f>
        <v/>
      </c>
      <c r="D432" t="str">
        <f>IFERROR(IF(OR(INDEX(tblTrans[ProductID],431)="",ISNUMBER(SEARCH("ProductID",INDEX(tblTrans[ProductID],431)))),"",INDEX(tblTrans[Quantity],431)),"")</f>
        <v/>
      </c>
      <c r="E432" t="str">
        <f>IFERROR(IF(OR(INDEX(tblTrans[ProductID],431)="",ISNUMBER(SEARCH("ProductID",INDEX(tblTrans[ProductID],431)))),"",INDEX(tblTrans[Type],431)),"")</f>
        <v/>
      </c>
      <c r="F432" t="str">
        <f>IFERROR(IF(OR(INDEX(tblTrans[ProductID],431)="",ISNUMBER(SEARCH("ProductID",INDEX(tblTrans[ProductID],431)))),"",_xlfn.XLOOKUP(B432,tblProducts[ProductID],tblProducts[ProductName],"")),"")</f>
        <v/>
      </c>
      <c r="G432" t="str">
        <f>IFERROR(IF(OR(INDEX(tblTrans[ProductID],431)="",ISNUMBER(SEARCH("ProductID",INDEX(tblTrans[ProductID],431)))),"",_xlfn.XLOOKUP(B432,tblProducts[ProductID],tblProducts[Category],"")),"")</f>
        <v/>
      </c>
      <c r="H432" t="str">
        <f>IFERROR(IF(OR(INDEX(tblTrans[ProductID],431)="",ISNUMBER(SEARCH("ProductID",INDEX(tblTrans[ProductID],431)))),"",_xlfn.XLOOKUP(B432,tblProducts[ProductID],tblProducts[Supplier],"")),"")</f>
        <v/>
      </c>
      <c r="I432" t="str">
        <f>IFERROR(IF(OR(INDEX(tblTrans[ProductID],431)="",ISNUMBER(SEARCH("ProductID",INDEX(tblTrans[ProductID],431)))),"",D432*_xlfn.XLOOKUP(B432,tblProducts[ProductID],tblProducts[UnitCost],0)),"")</f>
        <v/>
      </c>
    </row>
    <row r="433" spans="1:9" x14ac:dyDescent="0.3">
      <c r="A433" s="5" t="str">
        <f>IFERROR(IF(OR(INDEX(tblTrans[ProductID],432)="",ISNUMBER(SEARCH("ProductID",INDEX(tblTrans[ProductID],432)))),"",INDEX(tblTrans[Date],432)),"")</f>
        <v/>
      </c>
      <c r="B433" t="str">
        <f>IFERROR(IF(OR(INDEX(tblTrans[ProductID],432)="",ISNUMBER(SEARCH("ProductID",INDEX(tblTrans[ProductID],432)))),"",INDEX(tblTrans[ProductID],432)),"")</f>
        <v/>
      </c>
      <c r="C433" t="str">
        <f>IFERROR(IF(OR(INDEX(tblTrans[ProductID],432)="",ISNUMBER(SEARCH("ProductID",INDEX(tblTrans[ProductID],432)))),"",INDEX(tblTrans[Location],432)),"")</f>
        <v/>
      </c>
      <c r="D433" t="str">
        <f>IFERROR(IF(OR(INDEX(tblTrans[ProductID],432)="",ISNUMBER(SEARCH("ProductID",INDEX(tblTrans[ProductID],432)))),"",INDEX(tblTrans[Quantity],432)),"")</f>
        <v/>
      </c>
      <c r="E433" t="str">
        <f>IFERROR(IF(OR(INDEX(tblTrans[ProductID],432)="",ISNUMBER(SEARCH("ProductID",INDEX(tblTrans[ProductID],432)))),"",INDEX(tblTrans[Type],432)),"")</f>
        <v/>
      </c>
      <c r="F433" t="str">
        <f>IFERROR(IF(OR(INDEX(tblTrans[ProductID],432)="",ISNUMBER(SEARCH("ProductID",INDEX(tblTrans[ProductID],432)))),"",_xlfn.XLOOKUP(B433,tblProducts[ProductID],tblProducts[ProductName],"")),"")</f>
        <v/>
      </c>
      <c r="G433" t="str">
        <f>IFERROR(IF(OR(INDEX(tblTrans[ProductID],432)="",ISNUMBER(SEARCH("ProductID",INDEX(tblTrans[ProductID],432)))),"",_xlfn.XLOOKUP(B433,tblProducts[ProductID],tblProducts[Category],"")),"")</f>
        <v/>
      </c>
      <c r="H433" t="str">
        <f>IFERROR(IF(OR(INDEX(tblTrans[ProductID],432)="",ISNUMBER(SEARCH("ProductID",INDEX(tblTrans[ProductID],432)))),"",_xlfn.XLOOKUP(B433,tblProducts[ProductID],tblProducts[Supplier],"")),"")</f>
        <v/>
      </c>
      <c r="I433" t="str">
        <f>IFERROR(IF(OR(INDEX(tblTrans[ProductID],432)="",ISNUMBER(SEARCH("ProductID",INDEX(tblTrans[ProductID],432)))),"",D433*_xlfn.XLOOKUP(B433,tblProducts[ProductID],tblProducts[UnitCost],0)),"")</f>
        <v/>
      </c>
    </row>
    <row r="434" spans="1:9" x14ac:dyDescent="0.3">
      <c r="A434" s="5" t="str">
        <f>IFERROR(IF(OR(INDEX(tblTrans[ProductID],433)="",ISNUMBER(SEARCH("ProductID",INDEX(tblTrans[ProductID],433)))),"",INDEX(tblTrans[Date],433)),"")</f>
        <v/>
      </c>
      <c r="B434" t="str">
        <f>IFERROR(IF(OR(INDEX(tblTrans[ProductID],433)="",ISNUMBER(SEARCH("ProductID",INDEX(tblTrans[ProductID],433)))),"",INDEX(tblTrans[ProductID],433)),"")</f>
        <v/>
      </c>
      <c r="C434" t="str">
        <f>IFERROR(IF(OR(INDEX(tblTrans[ProductID],433)="",ISNUMBER(SEARCH("ProductID",INDEX(tblTrans[ProductID],433)))),"",INDEX(tblTrans[Location],433)),"")</f>
        <v/>
      </c>
      <c r="D434" t="str">
        <f>IFERROR(IF(OR(INDEX(tblTrans[ProductID],433)="",ISNUMBER(SEARCH("ProductID",INDEX(tblTrans[ProductID],433)))),"",INDEX(tblTrans[Quantity],433)),"")</f>
        <v/>
      </c>
      <c r="E434" t="str">
        <f>IFERROR(IF(OR(INDEX(tblTrans[ProductID],433)="",ISNUMBER(SEARCH("ProductID",INDEX(tblTrans[ProductID],433)))),"",INDEX(tblTrans[Type],433)),"")</f>
        <v/>
      </c>
      <c r="F434" t="str">
        <f>IFERROR(IF(OR(INDEX(tblTrans[ProductID],433)="",ISNUMBER(SEARCH("ProductID",INDEX(tblTrans[ProductID],433)))),"",_xlfn.XLOOKUP(B434,tblProducts[ProductID],tblProducts[ProductName],"")),"")</f>
        <v/>
      </c>
      <c r="G434" t="str">
        <f>IFERROR(IF(OR(INDEX(tblTrans[ProductID],433)="",ISNUMBER(SEARCH("ProductID",INDEX(tblTrans[ProductID],433)))),"",_xlfn.XLOOKUP(B434,tblProducts[ProductID],tblProducts[Category],"")),"")</f>
        <v/>
      </c>
      <c r="H434" t="str">
        <f>IFERROR(IF(OR(INDEX(tblTrans[ProductID],433)="",ISNUMBER(SEARCH("ProductID",INDEX(tblTrans[ProductID],433)))),"",_xlfn.XLOOKUP(B434,tblProducts[ProductID],tblProducts[Supplier],"")),"")</f>
        <v/>
      </c>
      <c r="I434" t="str">
        <f>IFERROR(IF(OR(INDEX(tblTrans[ProductID],433)="",ISNUMBER(SEARCH("ProductID",INDEX(tblTrans[ProductID],433)))),"",D434*_xlfn.XLOOKUP(B434,tblProducts[ProductID],tblProducts[UnitCost],0)),"")</f>
        <v/>
      </c>
    </row>
    <row r="435" spans="1:9" x14ac:dyDescent="0.3">
      <c r="A435" s="5" t="str">
        <f>IFERROR(IF(OR(INDEX(tblTrans[ProductID],434)="",ISNUMBER(SEARCH("ProductID",INDEX(tblTrans[ProductID],434)))),"",INDEX(tblTrans[Date],434)),"")</f>
        <v/>
      </c>
      <c r="B435" t="str">
        <f>IFERROR(IF(OR(INDEX(tblTrans[ProductID],434)="",ISNUMBER(SEARCH("ProductID",INDEX(tblTrans[ProductID],434)))),"",INDEX(tblTrans[ProductID],434)),"")</f>
        <v/>
      </c>
      <c r="C435" t="str">
        <f>IFERROR(IF(OR(INDEX(tblTrans[ProductID],434)="",ISNUMBER(SEARCH("ProductID",INDEX(tblTrans[ProductID],434)))),"",INDEX(tblTrans[Location],434)),"")</f>
        <v/>
      </c>
      <c r="D435" t="str">
        <f>IFERROR(IF(OR(INDEX(tblTrans[ProductID],434)="",ISNUMBER(SEARCH("ProductID",INDEX(tblTrans[ProductID],434)))),"",INDEX(tblTrans[Quantity],434)),"")</f>
        <v/>
      </c>
      <c r="E435" t="str">
        <f>IFERROR(IF(OR(INDEX(tblTrans[ProductID],434)="",ISNUMBER(SEARCH("ProductID",INDEX(tblTrans[ProductID],434)))),"",INDEX(tblTrans[Type],434)),"")</f>
        <v/>
      </c>
      <c r="F435" t="str">
        <f>IFERROR(IF(OR(INDEX(tblTrans[ProductID],434)="",ISNUMBER(SEARCH("ProductID",INDEX(tblTrans[ProductID],434)))),"",_xlfn.XLOOKUP(B435,tblProducts[ProductID],tblProducts[ProductName],"")),"")</f>
        <v/>
      </c>
      <c r="G435" t="str">
        <f>IFERROR(IF(OR(INDEX(tblTrans[ProductID],434)="",ISNUMBER(SEARCH("ProductID",INDEX(tblTrans[ProductID],434)))),"",_xlfn.XLOOKUP(B435,tblProducts[ProductID],tblProducts[Category],"")),"")</f>
        <v/>
      </c>
      <c r="H435" t="str">
        <f>IFERROR(IF(OR(INDEX(tblTrans[ProductID],434)="",ISNUMBER(SEARCH("ProductID",INDEX(tblTrans[ProductID],434)))),"",_xlfn.XLOOKUP(B435,tblProducts[ProductID],tblProducts[Supplier],"")),"")</f>
        <v/>
      </c>
      <c r="I435" t="str">
        <f>IFERROR(IF(OR(INDEX(tblTrans[ProductID],434)="",ISNUMBER(SEARCH("ProductID",INDEX(tblTrans[ProductID],434)))),"",D435*_xlfn.XLOOKUP(B435,tblProducts[ProductID],tblProducts[UnitCost],0)),"")</f>
        <v/>
      </c>
    </row>
    <row r="436" spans="1:9" x14ac:dyDescent="0.3">
      <c r="A436" s="5" t="str">
        <f>IFERROR(IF(OR(INDEX(tblTrans[ProductID],435)="",ISNUMBER(SEARCH("ProductID",INDEX(tblTrans[ProductID],435)))),"",INDEX(tblTrans[Date],435)),"")</f>
        <v/>
      </c>
      <c r="B436" t="str">
        <f>IFERROR(IF(OR(INDEX(tblTrans[ProductID],435)="",ISNUMBER(SEARCH("ProductID",INDEX(tblTrans[ProductID],435)))),"",INDEX(tblTrans[ProductID],435)),"")</f>
        <v/>
      </c>
      <c r="C436" t="str">
        <f>IFERROR(IF(OR(INDEX(tblTrans[ProductID],435)="",ISNUMBER(SEARCH("ProductID",INDEX(tblTrans[ProductID],435)))),"",INDEX(tblTrans[Location],435)),"")</f>
        <v/>
      </c>
      <c r="D436" t="str">
        <f>IFERROR(IF(OR(INDEX(tblTrans[ProductID],435)="",ISNUMBER(SEARCH("ProductID",INDEX(tblTrans[ProductID],435)))),"",INDEX(tblTrans[Quantity],435)),"")</f>
        <v/>
      </c>
      <c r="E436" t="str">
        <f>IFERROR(IF(OR(INDEX(tblTrans[ProductID],435)="",ISNUMBER(SEARCH("ProductID",INDEX(tblTrans[ProductID],435)))),"",INDEX(tblTrans[Type],435)),"")</f>
        <v/>
      </c>
      <c r="F436" t="str">
        <f>IFERROR(IF(OR(INDEX(tblTrans[ProductID],435)="",ISNUMBER(SEARCH("ProductID",INDEX(tblTrans[ProductID],435)))),"",_xlfn.XLOOKUP(B436,tblProducts[ProductID],tblProducts[ProductName],"")),"")</f>
        <v/>
      </c>
      <c r="G436" t="str">
        <f>IFERROR(IF(OR(INDEX(tblTrans[ProductID],435)="",ISNUMBER(SEARCH("ProductID",INDEX(tblTrans[ProductID],435)))),"",_xlfn.XLOOKUP(B436,tblProducts[ProductID],tblProducts[Category],"")),"")</f>
        <v/>
      </c>
      <c r="H436" t="str">
        <f>IFERROR(IF(OR(INDEX(tblTrans[ProductID],435)="",ISNUMBER(SEARCH("ProductID",INDEX(tblTrans[ProductID],435)))),"",_xlfn.XLOOKUP(B436,tblProducts[ProductID],tblProducts[Supplier],"")),"")</f>
        <v/>
      </c>
      <c r="I436" t="str">
        <f>IFERROR(IF(OR(INDEX(tblTrans[ProductID],435)="",ISNUMBER(SEARCH("ProductID",INDEX(tblTrans[ProductID],435)))),"",D436*_xlfn.XLOOKUP(B436,tblProducts[ProductID],tblProducts[UnitCost],0)),"")</f>
        <v/>
      </c>
    </row>
    <row r="437" spans="1:9" x14ac:dyDescent="0.3">
      <c r="A437" s="5" t="str">
        <f>IFERROR(IF(OR(INDEX(tblTrans[ProductID],436)="",ISNUMBER(SEARCH("ProductID",INDEX(tblTrans[ProductID],436)))),"",INDEX(tblTrans[Date],436)),"")</f>
        <v/>
      </c>
      <c r="B437" t="str">
        <f>IFERROR(IF(OR(INDEX(tblTrans[ProductID],436)="",ISNUMBER(SEARCH("ProductID",INDEX(tblTrans[ProductID],436)))),"",INDEX(tblTrans[ProductID],436)),"")</f>
        <v/>
      </c>
      <c r="C437" t="str">
        <f>IFERROR(IF(OR(INDEX(tblTrans[ProductID],436)="",ISNUMBER(SEARCH("ProductID",INDEX(tblTrans[ProductID],436)))),"",INDEX(tblTrans[Location],436)),"")</f>
        <v/>
      </c>
      <c r="D437" t="str">
        <f>IFERROR(IF(OR(INDEX(tblTrans[ProductID],436)="",ISNUMBER(SEARCH("ProductID",INDEX(tblTrans[ProductID],436)))),"",INDEX(tblTrans[Quantity],436)),"")</f>
        <v/>
      </c>
      <c r="E437" t="str">
        <f>IFERROR(IF(OR(INDEX(tblTrans[ProductID],436)="",ISNUMBER(SEARCH("ProductID",INDEX(tblTrans[ProductID],436)))),"",INDEX(tblTrans[Type],436)),"")</f>
        <v/>
      </c>
      <c r="F437" t="str">
        <f>IFERROR(IF(OR(INDEX(tblTrans[ProductID],436)="",ISNUMBER(SEARCH("ProductID",INDEX(tblTrans[ProductID],436)))),"",_xlfn.XLOOKUP(B437,tblProducts[ProductID],tblProducts[ProductName],"")),"")</f>
        <v/>
      </c>
      <c r="G437" t="str">
        <f>IFERROR(IF(OR(INDEX(tblTrans[ProductID],436)="",ISNUMBER(SEARCH("ProductID",INDEX(tblTrans[ProductID],436)))),"",_xlfn.XLOOKUP(B437,tblProducts[ProductID],tblProducts[Category],"")),"")</f>
        <v/>
      </c>
      <c r="H437" t="str">
        <f>IFERROR(IF(OR(INDEX(tblTrans[ProductID],436)="",ISNUMBER(SEARCH("ProductID",INDEX(tblTrans[ProductID],436)))),"",_xlfn.XLOOKUP(B437,tblProducts[ProductID],tblProducts[Supplier],"")),"")</f>
        <v/>
      </c>
      <c r="I437" t="str">
        <f>IFERROR(IF(OR(INDEX(tblTrans[ProductID],436)="",ISNUMBER(SEARCH("ProductID",INDEX(tblTrans[ProductID],436)))),"",D437*_xlfn.XLOOKUP(B437,tblProducts[ProductID],tblProducts[UnitCost],0)),"")</f>
        <v/>
      </c>
    </row>
    <row r="438" spans="1:9" x14ac:dyDescent="0.3">
      <c r="A438" s="5" t="str">
        <f>IFERROR(IF(OR(INDEX(tblTrans[ProductID],437)="",ISNUMBER(SEARCH("ProductID",INDEX(tblTrans[ProductID],437)))),"",INDEX(tblTrans[Date],437)),"")</f>
        <v/>
      </c>
      <c r="B438" t="str">
        <f>IFERROR(IF(OR(INDEX(tblTrans[ProductID],437)="",ISNUMBER(SEARCH("ProductID",INDEX(tblTrans[ProductID],437)))),"",INDEX(tblTrans[ProductID],437)),"")</f>
        <v/>
      </c>
      <c r="C438" t="str">
        <f>IFERROR(IF(OR(INDEX(tblTrans[ProductID],437)="",ISNUMBER(SEARCH("ProductID",INDEX(tblTrans[ProductID],437)))),"",INDEX(tblTrans[Location],437)),"")</f>
        <v/>
      </c>
      <c r="D438" t="str">
        <f>IFERROR(IF(OR(INDEX(tblTrans[ProductID],437)="",ISNUMBER(SEARCH("ProductID",INDEX(tblTrans[ProductID],437)))),"",INDEX(tblTrans[Quantity],437)),"")</f>
        <v/>
      </c>
      <c r="E438" t="str">
        <f>IFERROR(IF(OR(INDEX(tblTrans[ProductID],437)="",ISNUMBER(SEARCH("ProductID",INDEX(tblTrans[ProductID],437)))),"",INDEX(tblTrans[Type],437)),"")</f>
        <v/>
      </c>
      <c r="F438" t="str">
        <f>IFERROR(IF(OR(INDEX(tblTrans[ProductID],437)="",ISNUMBER(SEARCH("ProductID",INDEX(tblTrans[ProductID],437)))),"",_xlfn.XLOOKUP(B438,tblProducts[ProductID],tblProducts[ProductName],"")),"")</f>
        <v/>
      </c>
      <c r="G438" t="str">
        <f>IFERROR(IF(OR(INDEX(tblTrans[ProductID],437)="",ISNUMBER(SEARCH("ProductID",INDEX(tblTrans[ProductID],437)))),"",_xlfn.XLOOKUP(B438,tblProducts[ProductID],tblProducts[Category],"")),"")</f>
        <v/>
      </c>
      <c r="H438" t="str">
        <f>IFERROR(IF(OR(INDEX(tblTrans[ProductID],437)="",ISNUMBER(SEARCH("ProductID",INDEX(tblTrans[ProductID],437)))),"",_xlfn.XLOOKUP(B438,tblProducts[ProductID],tblProducts[Supplier],"")),"")</f>
        <v/>
      </c>
      <c r="I438" t="str">
        <f>IFERROR(IF(OR(INDEX(tblTrans[ProductID],437)="",ISNUMBER(SEARCH("ProductID",INDEX(tblTrans[ProductID],437)))),"",D438*_xlfn.XLOOKUP(B438,tblProducts[ProductID],tblProducts[UnitCost],0)),"")</f>
        <v/>
      </c>
    </row>
    <row r="439" spans="1:9" x14ac:dyDescent="0.3">
      <c r="A439" s="5" t="str">
        <f>IFERROR(IF(OR(INDEX(tblTrans[ProductID],438)="",ISNUMBER(SEARCH("ProductID",INDEX(tblTrans[ProductID],438)))),"",INDEX(tblTrans[Date],438)),"")</f>
        <v/>
      </c>
      <c r="B439" t="str">
        <f>IFERROR(IF(OR(INDEX(tblTrans[ProductID],438)="",ISNUMBER(SEARCH("ProductID",INDEX(tblTrans[ProductID],438)))),"",INDEX(tblTrans[ProductID],438)),"")</f>
        <v/>
      </c>
      <c r="C439" t="str">
        <f>IFERROR(IF(OR(INDEX(tblTrans[ProductID],438)="",ISNUMBER(SEARCH("ProductID",INDEX(tblTrans[ProductID],438)))),"",INDEX(tblTrans[Location],438)),"")</f>
        <v/>
      </c>
      <c r="D439" t="str">
        <f>IFERROR(IF(OR(INDEX(tblTrans[ProductID],438)="",ISNUMBER(SEARCH("ProductID",INDEX(tblTrans[ProductID],438)))),"",INDEX(tblTrans[Quantity],438)),"")</f>
        <v/>
      </c>
      <c r="E439" t="str">
        <f>IFERROR(IF(OR(INDEX(tblTrans[ProductID],438)="",ISNUMBER(SEARCH("ProductID",INDEX(tblTrans[ProductID],438)))),"",INDEX(tblTrans[Type],438)),"")</f>
        <v/>
      </c>
      <c r="F439" t="str">
        <f>IFERROR(IF(OR(INDEX(tblTrans[ProductID],438)="",ISNUMBER(SEARCH("ProductID",INDEX(tblTrans[ProductID],438)))),"",_xlfn.XLOOKUP(B439,tblProducts[ProductID],tblProducts[ProductName],"")),"")</f>
        <v/>
      </c>
      <c r="G439" t="str">
        <f>IFERROR(IF(OR(INDEX(tblTrans[ProductID],438)="",ISNUMBER(SEARCH("ProductID",INDEX(tblTrans[ProductID],438)))),"",_xlfn.XLOOKUP(B439,tblProducts[ProductID],tblProducts[Category],"")),"")</f>
        <v/>
      </c>
      <c r="H439" t="str">
        <f>IFERROR(IF(OR(INDEX(tblTrans[ProductID],438)="",ISNUMBER(SEARCH("ProductID",INDEX(tblTrans[ProductID],438)))),"",_xlfn.XLOOKUP(B439,tblProducts[ProductID],tblProducts[Supplier],"")),"")</f>
        <v/>
      </c>
      <c r="I439" t="str">
        <f>IFERROR(IF(OR(INDEX(tblTrans[ProductID],438)="",ISNUMBER(SEARCH("ProductID",INDEX(tblTrans[ProductID],438)))),"",D439*_xlfn.XLOOKUP(B439,tblProducts[ProductID],tblProducts[UnitCost],0)),"")</f>
        <v/>
      </c>
    </row>
    <row r="440" spans="1:9" x14ac:dyDescent="0.3">
      <c r="A440" s="5" t="str">
        <f>IFERROR(IF(OR(INDEX(tblTrans[ProductID],439)="",ISNUMBER(SEARCH("ProductID",INDEX(tblTrans[ProductID],439)))),"",INDEX(tblTrans[Date],439)),"")</f>
        <v/>
      </c>
      <c r="B440" t="str">
        <f>IFERROR(IF(OR(INDEX(tblTrans[ProductID],439)="",ISNUMBER(SEARCH("ProductID",INDEX(tblTrans[ProductID],439)))),"",INDEX(tblTrans[ProductID],439)),"")</f>
        <v/>
      </c>
      <c r="C440" t="str">
        <f>IFERROR(IF(OR(INDEX(tblTrans[ProductID],439)="",ISNUMBER(SEARCH("ProductID",INDEX(tblTrans[ProductID],439)))),"",INDEX(tblTrans[Location],439)),"")</f>
        <v/>
      </c>
      <c r="D440" t="str">
        <f>IFERROR(IF(OR(INDEX(tblTrans[ProductID],439)="",ISNUMBER(SEARCH("ProductID",INDEX(tblTrans[ProductID],439)))),"",INDEX(tblTrans[Quantity],439)),"")</f>
        <v/>
      </c>
      <c r="E440" t="str">
        <f>IFERROR(IF(OR(INDEX(tblTrans[ProductID],439)="",ISNUMBER(SEARCH("ProductID",INDEX(tblTrans[ProductID],439)))),"",INDEX(tblTrans[Type],439)),"")</f>
        <v/>
      </c>
      <c r="F440" t="str">
        <f>IFERROR(IF(OR(INDEX(tblTrans[ProductID],439)="",ISNUMBER(SEARCH("ProductID",INDEX(tblTrans[ProductID],439)))),"",_xlfn.XLOOKUP(B440,tblProducts[ProductID],tblProducts[ProductName],"")),"")</f>
        <v/>
      </c>
      <c r="G440" t="str">
        <f>IFERROR(IF(OR(INDEX(tblTrans[ProductID],439)="",ISNUMBER(SEARCH("ProductID",INDEX(tblTrans[ProductID],439)))),"",_xlfn.XLOOKUP(B440,tblProducts[ProductID],tblProducts[Category],"")),"")</f>
        <v/>
      </c>
      <c r="H440" t="str">
        <f>IFERROR(IF(OR(INDEX(tblTrans[ProductID],439)="",ISNUMBER(SEARCH("ProductID",INDEX(tblTrans[ProductID],439)))),"",_xlfn.XLOOKUP(B440,tblProducts[ProductID],tblProducts[Supplier],"")),"")</f>
        <v/>
      </c>
      <c r="I440" t="str">
        <f>IFERROR(IF(OR(INDEX(tblTrans[ProductID],439)="",ISNUMBER(SEARCH("ProductID",INDEX(tblTrans[ProductID],439)))),"",D440*_xlfn.XLOOKUP(B440,tblProducts[ProductID],tblProducts[UnitCost],0)),"")</f>
        <v/>
      </c>
    </row>
    <row r="441" spans="1:9" x14ac:dyDescent="0.3">
      <c r="A441" s="5" t="str">
        <f>IFERROR(IF(OR(INDEX(tblTrans[ProductID],440)="",ISNUMBER(SEARCH("ProductID",INDEX(tblTrans[ProductID],440)))),"",INDEX(tblTrans[Date],440)),"")</f>
        <v/>
      </c>
      <c r="B441" t="str">
        <f>IFERROR(IF(OR(INDEX(tblTrans[ProductID],440)="",ISNUMBER(SEARCH("ProductID",INDEX(tblTrans[ProductID],440)))),"",INDEX(tblTrans[ProductID],440)),"")</f>
        <v/>
      </c>
      <c r="C441" t="str">
        <f>IFERROR(IF(OR(INDEX(tblTrans[ProductID],440)="",ISNUMBER(SEARCH("ProductID",INDEX(tblTrans[ProductID],440)))),"",INDEX(tblTrans[Location],440)),"")</f>
        <v/>
      </c>
      <c r="D441" t="str">
        <f>IFERROR(IF(OR(INDEX(tblTrans[ProductID],440)="",ISNUMBER(SEARCH("ProductID",INDEX(tblTrans[ProductID],440)))),"",INDEX(tblTrans[Quantity],440)),"")</f>
        <v/>
      </c>
      <c r="E441" t="str">
        <f>IFERROR(IF(OR(INDEX(tblTrans[ProductID],440)="",ISNUMBER(SEARCH("ProductID",INDEX(tblTrans[ProductID],440)))),"",INDEX(tblTrans[Type],440)),"")</f>
        <v/>
      </c>
      <c r="F441" t="str">
        <f>IFERROR(IF(OR(INDEX(tblTrans[ProductID],440)="",ISNUMBER(SEARCH("ProductID",INDEX(tblTrans[ProductID],440)))),"",_xlfn.XLOOKUP(B441,tblProducts[ProductID],tblProducts[ProductName],"")),"")</f>
        <v/>
      </c>
      <c r="G441" t="str">
        <f>IFERROR(IF(OR(INDEX(tblTrans[ProductID],440)="",ISNUMBER(SEARCH("ProductID",INDEX(tblTrans[ProductID],440)))),"",_xlfn.XLOOKUP(B441,tblProducts[ProductID],tblProducts[Category],"")),"")</f>
        <v/>
      </c>
      <c r="H441" t="str">
        <f>IFERROR(IF(OR(INDEX(tblTrans[ProductID],440)="",ISNUMBER(SEARCH("ProductID",INDEX(tblTrans[ProductID],440)))),"",_xlfn.XLOOKUP(B441,tblProducts[ProductID],tblProducts[Supplier],"")),"")</f>
        <v/>
      </c>
      <c r="I441" t="str">
        <f>IFERROR(IF(OR(INDEX(tblTrans[ProductID],440)="",ISNUMBER(SEARCH("ProductID",INDEX(tblTrans[ProductID],440)))),"",D441*_xlfn.XLOOKUP(B441,tblProducts[ProductID],tblProducts[UnitCost],0)),"")</f>
        <v/>
      </c>
    </row>
    <row r="442" spans="1:9" x14ac:dyDescent="0.3">
      <c r="A442" s="5" t="str">
        <f>IFERROR(IF(OR(INDEX(tblTrans[ProductID],441)="",ISNUMBER(SEARCH("ProductID",INDEX(tblTrans[ProductID],441)))),"",INDEX(tblTrans[Date],441)),"")</f>
        <v/>
      </c>
      <c r="B442" t="str">
        <f>IFERROR(IF(OR(INDEX(tblTrans[ProductID],441)="",ISNUMBER(SEARCH("ProductID",INDEX(tblTrans[ProductID],441)))),"",INDEX(tblTrans[ProductID],441)),"")</f>
        <v/>
      </c>
      <c r="C442" t="str">
        <f>IFERROR(IF(OR(INDEX(tblTrans[ProductID],441)="",ISNUMBER(SEARCH("ProductID",INDEX(tblTrans[ProductID],441)))),"",INDEX(tblTrans[Location],441)),"")</f>
        <v/>
      </c>
      <c r="D442" t="str">
        <f>IFERROR(IF(OR(INDEX(tblTrans[ProductID],441)="",ISNUMBER(SEARCH("ProductID",INDEX(tblTrans[ProductID],441)))),"",INDEX(tblTrans[Quantity],441)),"")</f>
        <v/>
      </c>
      <c r="E442" t="str">
        <f>IFERROR(IF(OR(INDEX(tblTrans[ProductID],441)="",ISNUMBER(SEARCH("ProductID",INDEX(tblTrans[ProductID],441)))),"",INDEX(tblTrans[Type],441)),"")</f>
        <v/>
      </c>
      <c r="F442" t="str">
        <f>IFERROR(IF(OR(INDEX(tblTrans[ProductID],441)="",ISNUMBER(SEARCH("ProductID",INDEX(tblTrans[ProductID],441)))),"",_xlfn.XLOOKUP(B442,tblProducts[ProductID],tblProducts[ProductName],"")),"")</f>
        <v/>
      </c>
      <c r="G442" t="str">
        <f>IFERROR(IF(OR(INDEX(tblTrans[ProductID],441)="",ISNUMBER(SEARCH("ProductID",INDEX(tblTrans[ProductID],441)))),"",_xlfn.XLOOKUP(B442,tblProducts[ProductID],tblProducts[Category],"")),"")</f>
        <v/>
      </c>
      <c r="H442" t="str">
        <f>IFERROR(IF(OR(INDEX(tblTrans[ProductID],441)="",ISNUMBER(SEARCH("ProductID",INDEX(tblTrans[ProductID],441)))),"",_xlfn.XLOOKUP(B442,tblProducts[ProductID],tblProducts[Supplier],"")),"")</f>
        <v/>
      </c>
      <c r="I442" t="str">
        <f>IFERROR(IF(OR(INDEX(tblTrans[ProductID],441)="",ISNUMBER(SEARCH("ProductID",INDEX(tblTrans[ProductID],441)))),"",D442*_xlfn.XLOOKUP(B442,tblProducts[ProductID],tblProducts[UnitCost],0)),"")</f>
        <v/>
      </c>
    </row>
    <row r="443" spans="1:9" x14ac:dyDescent="0.3">
      <c r="A443" s="5" t="str">
        <f>IFERROR(IF(OR(INDEX(tblTrans[ProductID],442)="",ISNUMBER(SEARCH("ProductID",INDEX(tblTrans[ProductID],442)))),"",INDEX(tblTrans[Date],442)),"")</f>
        <v/>
      </c>
      <c r="B443" t="str">
        <f>IFERROR(IF(OR(INDEX(tblTrans[ProductID],442)="",ISNUMBER(SEARCH("ProductID",INDEX(tblTrans[ProductID],442)))),"",INDEX(tblTrans[ProductID],442)),"")</f>
        <v/>
      </c>
      <c r="C443" t="str">
        <f>IFERROR(IF(OR(INDEX(tblTrans[ProductID],442)="",ISNUMBER(SEARCH("ProductID",INDEX(tblTrans[ProductID],442)))),"",INDEX(tblTrans[Location],442)),"")</f>
        <v/>
      </c>
      <c r="D443" t="str">
        <f>IFERROR(IF(OR(INDEX(tblTrans[ProductID],442)="",ISNUMBER(SEARCH("ProductID",INDEX(tblTrans[ProductID],442)))),"",INDEX(tblTrans[Quantity],442)),"")</f>
        <v/>
      </c>
      <c r="E443" t="str">
        <f>IFERROR(IF(OR(INDEX(tblTrans[ProductID],442)="",ISNUMBER(SEARCH("ProductID",INDEX(tblTrans[ProductID],442)))),"",INDEX(tblTrans[Type],442)),"")</f>
        <v/>
      </c>
      <c r="F443" t="str">
        <f>IFERROR(IF(OR(INDEX(tblTrans[ProductID],442)="",ISNUMBER(SEARCH("ProductID",INDEX(tblTrans[ProductID],442)))),"",_xlfn.XLOOKUP(B443,tblProducts[ProductID],tblProducts[ProductName],"")),"")</f>
        <v/>
      </c>
      <c r="G443" t="str">
        <f>IFERROR(IF(OR(INDEX(tblTrans[ProductID],442)="",ISNUMBER(SEARCH("ProductID",INDEX(tblTrans[ProductID],442)))),"",_xlfn.XLOOKUP(B443,tblProducts[ProductID],tblProducts[Category],"")),"")</f>
        <v/>
      </c>
      <c r="H443" t="str">
        <f>IFERROR(IF(OR(INDEX(tblTrans[ProductID],442)="",ISNUMBER(SEARCH("ProductID",INDEX(tblTrans[ProductID],442)))),"",_xlfn.XLOOKUP(B443,tblProducts[ProductID],tblProducts[Supplier],"")),"")</f>
        <v/>
      </c>
      <c r="I443" t="str">
        <f>IFERROR(IF(OR(INDEX(tblTrans[ProductID],442)="",ISNUMBER(SEARCH("ProductID",INDEX(tblTrans[ProductID],442)))),"",D443*_xlfn.XLOOKUP(B443,tblProducts[ProductID],tblProducts[UnitCost],0)),"")</f>
        <v/>
      </c>
    </row>
    <row r="444" spans="1:9" x14ac:dyDescent="0.3">
      <c r="A444" s="5" t="str">
        <f>IFERROR(IF(OR(INDEX(tblTrans[ProductID],443)="",ISNUMBER(SEARCH("ProductID",INDEX(tblTrans[ProductID],443)))),"",INDEX(tblTrans[Date],443)),"")</f>
        <v/>
      </c>
      <c r="B444" t="str">
        <f>IFERROR(IF(OR(INDEX(tblTrans[ProductID],443)="",ISNUMBER(SEARCH("ProductID",INDEX(tblTrans[ProductID],443)))),"",INDEX(tblTrans[ProductID],443)),"")</f>
        <v/>
      </c>
      <c r="C444" t="str">
        <f>IFERROR(IF(OR(INDEX(tblTrans[ProductID],443)="",ISNUMBER(SEARCH("ProductID",INDEX(tblTrans[ProductID],443)))),"",INDEX(tblTrans[Location],443)),"")</f>
        <v/>
      </c>
      <c r="D444" t="str">
        <f>IFERROR(IF(OR(INDEX(tblTrans[ProductID],443)="",ISNUMBER(SEARCH("ProductID",INDEX(tblTrans[ProductID],443)))),"",INDEX(tblTrans[Quantity],443)),"")</f>
        <v/>
      </c>
      <c r="E444" t="str">
        <f>IFERROR(IF(OR(INDEX(tblTrans[ProductID],443)="",ISNUMBER(SEARCH("ProductID",INDEX(tblTrans[ProductID],443)))),"",INDEX(tblTrans[Type],443)),"")</f>
        <v/>
      </c>
      <c r="F444" t="str">
        <f>IFERROR(IF(OR(INDEX(tblTrans[ProductID],443)="",ISNUMBER(SEARCH("ProductID",INDEX(tblTrans[ProductID],443)))),"",_xlfn.XLOOKUP(B444,tblProducts[ProductID],tblProducts[ProductName],"")),"")</f>
        <v/>
      </c>
      <c r="G444" t="str">
        <f>IFERROR(IF(OR(INDEX(tblTrans[ProductID],443)="",ISNUMBER(SEARCH("ProductID",INDEX(tblTrans[ProductID],443)))),"",_xlfn.XLOOKUP(B444,tblProducts[ProductID],tblProducts[Category],"")),"")</f>
        <v/>
      </c>
      <c r="H444" t="str">
        <f>IFERROR(IF(OR(INDEX(tblTrans[ProductID],443)="",ISNUMBER(SEARCH("ProductID",INDEX(tblTrans[ProductID],443)))),"",_xlfn.XLOOKUP(B444,tblProducts[ProductID],tblProducts[Supplier],"")),"")</f>
        <v/>
      </c>
      <c r="I444" t="str">
        <f>IFERROR(IF(OR(INDEX(tblTrans[ProductID],443)="",ISNUMBER(SEARCH("ProductID",INDEX(tblTrans[ProductID],443)))),"",D444*_xlfn.XLOOKUP(B444,tblProducts[ProductID],tblProducts[UnitCost],0)),"")</f>
        <v/>
      </c>
    </row>
    <row r="445" spans="1:9" x14ac:dyDescent="0.3">
      <c r="A445" s="5" t="str">
        <f>IFERROR(IF(OR(INDEX(tblTrans[ProductID],444)="",ISNUMBER(SEARCH("ProductID",INDEX(tblTrans[ProductID],444)))),"",INDEX(tblTrans[Date],444)),"")</f>
        <v/>
      </c>
      <c r="B445" t="str">
        <f>IFERROR(IF(OR(INDEX(tblTrans[ProductID],444)="",ISNUMBER(SEARCH("ProductID",INDEX(tblTrans[ProductID],444)))),"",INDEX(tblTrans[ProductID],444)),"")</f>
        <v/>
      </c>
      <c r="C445" t="str">
        <f>IFERROR(IF(OR(INDEX(tblTrans[ProductID],444)="",ISNUMBER(SEARCH("ProductID",INDEX(tblTrans[ProductID],444)))),"",INDEX(tblTrans[Location],444)),"")</f>
        <v/>
      </c>
      <c r="D445" t="str">
        <f>IFERROR(IF(OR(INDEX(tblTrans[ProductID],444)="",ISNUMBER(SEARCH("ProductID",INDEX(tblTrans[ProductID],444)))),"",INDEX(tblTrans[Quantity],444)),"")</f>
        <v/>
      </c>
      <c r="E445" t="str">
        <f>IFERROR(IF(OR(INDEX(tblTrans[ProductID],444)="",ISNUMBER(SEARCH("ProductID",INDEX(tblTrans[ProductID],444)))),"",INDEX(tblTrans[Type],444)),"")</f>
        <v/>
      </c>
      <c r="F445" t="str">
        <f>IFERROR(IF(OR(INDEX(tblTrans[ProductID],444)="",ISNUMBER(SEARCH("ProductID",INDEX(tblTrans[ProductID],444)))),"",_xlfn.XLOOKUP(B445,tblProducts[ProductID],tblProducts[ProductName],"")),"")</f>
        <v/>
      </c>
      <c r="G445" t="str">
        <f>IFERROR(IF(OR(INDEX(tblTrans[ProductID],444)="",ISNUMBER(SEARCH("ProductID",INDEX(tblTrans[ProductID],444)))),"",_xlfn.XLOOKUP(B445,tblProducts[ProductID],tblProducts[Category],"")),"")</f>
        <v/>
      </c>
      <c r="H445" t="str">
        <f>IFERROR(IF(OR(INDEX(tblTrans[ProductID],444)="",ISNUMBER(SEARCH("ProductID",INDEX(tblTrans[ProductID],444)))),"",_xlfn.XLOOKUP(B445,tblProducts[ProductID],tblProducts[Supplier],"")),"")</f>
        <v/>
      </c>
      <c r="I445" t="str">
        <f>IFERROR(IF(OR(INDEX(tblTrans[ProductID],444)="",ISNUMBER(SEARCH("ProductID",INDEX(tblTrans[ProductID],444)))),"",D445*_xlfn.XLOOKUP(B445,tblProducts[ProductID],tblProducts[UnitCost],0)),"")</f>
        <v/>
      </c>
    </row>
    <row r="446" spans="1:9" x14ac:dyDescent="0.3">
      <c r="A446" s="5" t="str">
        <f>IFERROR(IF(OR(INDEX(tblTrans[ProductID],445)="",ISNUMBER(SEARCH("ProductID",INDEX(tblTrans[ProductID],445)))),"",INDEX(tblTrans[Date],445)),"")</f>
        <v/>
      </c>
      <c r="B446" t="str">
        <f>IFERROR(IF(OR(INDEX(tblTrans[ProductID],445)="",ISNUMBER(SEARCH("ProductID",INDEX(tblTrans[ProductID],445)))),"",INDEX(tblTrans[ProductID],445)),"")</f>
        <v/>
      </c>
      <c r="C446" t="str">
        <f>IFERROR(IF(OR(INDEX(tblTrans[ProductID],445)="",ISNUMBER(SEARCH("ProductID",INDEX(tblTrans[ProductID],445)))),"",INDEX(tblTrans[Location],445)),"")</f>
        <v/>
      </c>
      <c r="D446" t="str">
        <f>IFERROR(IF(OR(INDEX(tblTrans[ProductID],445)="",ISNUMBER(SEARCH("ProductID",INDEX(tblTrans[ProductID],445)))),"",INDEX(tblTrans[Quantity],445)),"")</f>
        <v/>
      </c>
      <c r="E446" t="str">
        <f>IFERROR(IF(OR(INDEX(tblTrans[ProductID],445)="",ISNUMBER(SEARCH("ProductID",INDEX(tblTrans[ProductID],445)))),"",INDEX(tblTrans[Type],445)),"")</f>
        <v/>
      </c>
      <c r="F446" t="str">
        <f>IFERROR(IF(OR(INDEX(tblTrans[ProductID],445)="",ISNUMBER(SEARCH("ProductID",INDEX(tblTrans[ProductID],445)))),"",_xlfn.XLOOKUP(B446,tblProducts[ProductID],tblProducts[ProductName],"")),"")</f>
        <v/>
      </c>
      <c r="G446" t="str">
        <f>IFERROR(IF(OR(INDEX(tblTrans[ProductID],445)="",ISNUMBER(SEARCH("ProductID",INDEX(tblTrans[ProductID],445)))),"",_xlfn.XLOOKUP(B446,tblProducts[ProductID],tblProducts[Category],"")),"")</f>
        <v/>
      </c>
      <c r="H446" t="str">
        <f>IFERROR(IF(OR(INDEX(tblTrans[ProductID],445)="",ISNUMBER(SEARCH("ProductID",INDEX(tblTrans[ProductID],445)))),"",_xlfn.XLOOKUP(B446,tblProducts[ProductID],tblProducts[Supplier],"")),"")</f>
        <v/>
      </c>
      <c r="I446" t="str">
        <f>IFERROR(IF(OR(INDEX(tblTrans[ProductID],445)="",ISNUMBER(SEARCH("ProductID",INDEX(tblTrans[ProductID],445)))),"",D446*_xlfn.XLOOKUP(B446,tblProducts[ProductID],tblProducts[UnitCost],0)),"")</f>
        <v/>
      </c>
    </row>
    <row r="447" spans="1:9" x14ac:dyDescent="0.3">
      <c r="A447" s="5" t="str">
        <f>IFERROR(IF(OR(INDEX(tblTrans[ProductID],446)="",ISNUMBER(SEARCH("ProductID",INDEX(tblTrans[ProductID],446)))),"",INDEX(tblTrans[Date],446)),"")</f>
        <v/>
      </c>
      <c r="B447" t="str">
        <f>IFERROR(IF(OR(INDEX(tblTrans[ProductID],446)="",ISNUMBER(SEARCH("ProductID",INDEX(tblTrans[ProductID],446)))),"",INDEX(tblTrans[ProductID],446)),"")</f>
        <v/>
      </c>
      <c r="C447" t="str">
        <f>IFERROR(IF(OR(INDEX(tblTrans[ProductID],446)="",ISNUMBER(SEARCH("ProductID",INDEX(tblTrans[ProductID],446)))),"",INDEX(tblTrans[Location],446)),"")</f>
        <v/>
      </c>
      <c r="D447" t="str">
        <f>IFERROR(IF(OR(INDEX(tblTrans[ProductID],446)="",ISNUMBER(SEARCH("ProductID",INDEX(tblTrans[ProductID],446)))),"",INDEX(tblTrans[Quantity],446)),"")</f>
        <v/>
      </c>
      <c r="E447" t="str">
        <f>IFERROR(IF(OR(INDEX(tblTrans[ProductID],446)="",ISNUMBER(SEARCH("ProductID",INDEX(tblTrans[ProductID],446)))),"",INDEX(tblTrans[Type],446)),"")</f>
        <v/>
      </c>
      <c r="F447" t="str">
        <f>IFERROR(IF(OR(INDEX(tblTrans[ProductID],446)="",ISNUMBER(SEARCH("ProductID",INDEX(tblTrans[ProductID],446)))),"",_xlfn.XLOOKUP(B447,tblProducts[ProductID],tblProducts[ProductName],"")),"")</f>
        <v/>
      </c>
      <c r="G447" t="str">
        <f>IFERROR(IF(OR(INDEX(tblTrans[ProductID],446)="",ISNUMBER(SEARCH("ProductID",INDEX(tblTrans[ProductID],446)))),"",_xlfn.XLOOKUP(B447,tblProducts[ProductID],tblProducts[Category],"")),"")</f>
        <v/>
      </c>
      <c r="H447" t="str">
        <f>IFERROR(IF(OR(INDEX(tblTrans[ProductID],446)="",ISNUMBER(SEARCH("ProductID",INDEX(tblTrans[ProductID],446)))),"",_xlfn.XLOOKUP(B447,tblProducts[ProductID],tblProducts[Supplier],"")),"")</f>
        <v/>
      </c>
      <c r="I447" t="str">
        <f>IFERROR(IF(OR(INDEX(tblTrans[ProductID],446)="",ISNUMBER(SEARCH("ProductID",INDEX(tblTrans[ProductID],446)))),"",D447*_xlfn.XLOOKUP(B447,tblProducts[ProductID],tblProducts[UnitCost],0)),"")</f>
        <v/>
      </c>
    </row>
    <row r="448" spans="1:9" x14ac:dyDescent="0.3">
      <c r="A448" s="5" t="str">
        <f>IFERROR(IF(OR(INDEX(tblTrans[ProductID],447)="",ISNUMBER(SEARCH("ProductID",INDEX(tblTrans[ProductID],447)))),"",INDEX(tblTrans[Date],447)),"")</f>
        <v/>
      </c>
      <c r="B448" t="str">
        <f>IFERROR(IF(OR(INDEX(tblTrans[ProductID],447)="",ISNUMBER(SEARCH("ProductID",INDEX(tblTrans[ProductID],447)))),"",INDEX(tblTrans[ProductID],447)),"")</f>
        <v/>
      </c>
      <c r="C448" t="str">
        <f>IFERROR(IF(OR(INDEX(tblTrans[ProductID],447)="",ISNUMBER(SEARCH("ProductID",INDEX(tblTrans[ProductID],447)))),"",INDEX(tblTrans[Location],447)),"")</f>
        <v/>
      </c>
      <c r="D448" t="str">
        <f>IFERROR(IF(OR(INDEX(tblTrans[ProductID],447)="",ISNUMBER(SEARCH("ProductID",INDEX(tblTrans[ProductID],447)))),"",INDEX(tblTrans[Quantity],447)),"")</f>
        <v/>
      </c>
      <c r="E448" t="str">
        <f>IFERROR(IF(OR(INDEX(tblTrans[ProductID],447)="",ISNUMBER(SEARCH("ProductID",INDEX(tblTrans[ProductID],447)))),"",INDEX(tblTrans[Type],447)),"")</f>
        <v/>
      </c>
      <c r="F448" t="str">
        <f>IFERROR(IF(OR(INDEX(tblTrans[ProductID],447)="",ISNUMBER(SEARCH("ProductID",INDEX(tblTrans[ProductID],447)))),"",_xlfn.XLOOKUP(B448,tblProducts[ProductID],tblProducts[ProductName],"")),"")</f>
        <v/>
      </c>
      <c r="G448" t="str">
        <f>IFERROR(IF(OR(INDEX(tblTrans[ProductID],447)="",ISNUMBER(SEARCH("ProductID",INDEX(tblTrans[ProductID],447)))),"",_xlfn.XLOOKUP(B448,tblProducts[ProductID],tblProducts[Category],"")),"")</f>
        <v/>
      </c>
      <c r="H448" t="str">
        <f>IFERROR(IF(OR(INDEX(tblTrans[ProductID],447)="",ISNUMBER(SEARCH("ProductID",INDEX(tblTrans[ProductID],447)))),"",_xlfn.XLOOKUP(B448,tblProducts[ProductID],tblProducts[Supplier],"")),"")</f>
        <v/>
      </c>
      <c r="I448" t="str">
        <f>IFERROR(IF(OR(INDEX(tblTrans[ProductID],447)="",ISNUMBER(SEARCH("ProductID",INDEX(tblTrans[ProductID],447)))),"",D448*_xlfn.XLOOKUP(B448,tblProducts[ProductID],tblProducts[UnitCost],0)),"")</f>
        <v/>
      </c>
    </row>
    <row r="449" spans="1:9" x14ac:dyDescent="0.3">
      <c r="A449" s="5" t="str">
        <f>IFERROR(IF(OR(INDEX(tblTrans[ProductID],448)="",ISNUMBER(SEARCH("ProductID",INDEX(tblTrans[ProductID],448)))),"",INDEX(tblTrans[Date],448)),"")</f>
        <v/>
      </c>
      <c r="B449" t="str">
        <f>IFERROR(IF(OR(INDEX(tblTrans[ProductID],448)="",ISNUMBER(SEARCH("ProductID",INDEX(tblTrans[ProductID],448)))),"",INDEX(tblTrans[ProductID],448)),"")</f>
        <v/>
      </c>
      <c r="C449" t="str">
        <f>IFERROR(IF(OR(INDEX(tblTrans[ProductID],448)="",ISNUMBER(SEARCH("ProductID",INDEX(tblTrans[ProductID],448)))),"",INDEX(tblTrans[Location],448)),"")</f>
        <v/>
      </c>
      <c r="D449" t="str">
        <f>IFERROR(IF(OR(INDEX(tblTrans[ProductID],448)="",ISNUMBER(SEARCH("ProductID",INDEX(tblTrans[ProductID],448)))),"",INDEX(tblTrans[Quantity],448)),"")</f>
        <v/>
      </c>
      <c r="E449" t="str">
        <f>IFERROR(IF(OR(INDEX(tblTrans[ProductID],448)="",ISNUMBER(SEARCH("ProductID",INDEX(tblTrans[ProductID],448)))),"",INDEX(tblTrans[Type],448)),"")</f>
        <v/>
      </c>
      <c r="F449" t="str">
        <f>IFERROR(IF(OR(INDEX(tblTrans[ProductID],448)="",ISNUMBER(SEARCH("ProductID",INDEX(tblTrans[ProductID],448)))),"",_xlfn.XLOOKUP(B449,tblProducts[ProductID],tblProducts[ProductName],"")),"")</f>
        <v/>
      </c>
      <c r="G449" t="str">
        <f>IFERROR(IF(OR(INDEX(tblTrans[ProductID],448)="",ISNUMBER(SEARCH("ProductID",INDEX(tblTrans[ProductID],448)))),"",_xlfn.XLOOKUP(B449,tblProducts[ProductID],tblProducts[Category],"")),"")</f>
        <v/>
      </c>
      <c r="H449" t="str">
        <f>IFERROR(IF(OR(INDEX(tblTrans[ProductID],448)="",ISNUMBER(SEARCH("ProductID",INDEX(tblTrans[ProductID],448)))),"",_xlfn.XLOOKUP(B449,tblProducts[ProductID],tblProducts[Supplier],"")),"")</f>
        <v/>
      </c>
      <c r="I449" t="str">
        <f>IFERROR(IF(OR(INDEX(tblTrans[ProductID],448)="",ISNUMBER(SEARCH("ProductID",INDEX(tblTrans[ProductID],448)))),"",D449*_xlfn.XLOOKUP(B449,tblProducts[ProductID],tblProducts[UnitCost],0)),"")</f>
        <v/>
      </c>
    </row>
    <row r="450" spans="1:9" x14ac:dyDescent="0.3">
      <c r="A450" s="5" t="str">
        <f>IFERROR(IF(OR(INDEX(tblTrans[ProductID],449)="",ISNUMBER(SEARCH("ProductID",INDEX(tblTrans[ProductID],449)))),"",INDEX(tblTrans[Date],449)),"")</f>
        <v/>
      </c>
      <c r="B450" t="str">
        <f>IFERROR(IF(OR(INDEX(tblTrans[ProductID],449)="",ISNUMBER(SEARCH("ProductID",INDEX(tblTrans[ProductID],449)))),"",INDEX(tblTrans[ProductID],449)),"")</f>
        <v/>
      </c>
      <c r="C450" t="str">
        <f>IFERROR(IF(OR(INDEX(tblTrans[ProductID],449)="",ISNUMBER(SEARCH("ProductID",INDEX(tblTrans[ProductID],449)))),"",INDEX(tblTrans[Location],449)),"")</f>
        <v/>
      </c>
      <c r="D450" t="str">
        <f>IFERROR(IF(OR(INDEX(tblTrans[ProductID],449)="",ISNUMBER(SEARCH("ProductID",INDEX(tblTrans[ProductID],449)))),"",INDEX(tblTrans[Quantity],449)),"")</f>
        <v/>
      </c>
      <c r="E450" t="str">
        <f>IFERROR(IF(OR(INDEX(tblTrans[ProductID],449)="",ISNUMBER(SEARCH("ProductID",INDEX(tblTrans[ProductID],449)))),"",INDEX(tblTrans[Type],449)),"")</f>
        <v/>
      </c>
      <c r="F450" t="str">
        <f>IFERROR(IF(OR(INDEX(tblTrans[ProductID],449)="",ISNUMBER(SEARCH("ProductID",INDEX(tblTrans[ProductID],449)))),"",_xlfn.XLOOKUP(B450,tblProducts[ProductID],tblProducts[ProductName],"")),"")</f>
        <v/>
      </c>
      <c r="G450" t="str">
        <f>IFERROR(IF(OR(INDEX(tblTrans[ProductID],449)="",ISNUMBER(SEARCH("ProductID",INDEX(tblTrans[ProductID],449)))),"",_xlfn.XLOOKUP(B450,tblProducts[ProductID],tblProducts[Category],"")),"")</f>
        <v/>
      </c>
      <c r="H450" t="str">
        <f>IFERROR(IF(OR(INDEX(tblTrans[ProductID],449)="",ISNUMBER(SEARCH("ProductID",INDEX(tblTrans[ProductID],449)))),"",_xlfn.XLOOKUP(B450,tblProducts[ProductID],tblProducts[Supplier],"")),"")</f>
        <v/>
      </c>
      <c r="I450" t="str">
        <f>IFERROR(IF(OR(INDEX(tblTrans[ProductID],449)="",ISNUMBER(SEARCH("ProductID",INDEX(tblTrans[ProductID],449)))),"",D450*_xlfn.XLOOKUP(B450,tblProducts[ProductID],tblProducts[UnitCost],0)),"")</f>
        <v/>
      </c>
    </row>
    <row r="451" spans="1:9" x14ac:dyDescent="0.3">
      <c r="A451" s="5" t="str">
        <f>IFERROR(IF(OR(INDEX(tblTrans[ProductID],450)="",ISNUMBER(SEARCH("ProductID",INDEX(tblTrans[ProductID],450)))),"",INDEX(tblTrans[Date],450)),"")</f>
        <v/>
      </c>
      <c r="B451" t="str">
        <f>IFERROR(IF(OR(INDEX(tblTrans[ProductID],450)="",ISNUMBER(SEARCH("ProductID",INDEX(tblTrans[ProductID],450)))),"",INDEX(tblTrans[ProductID],450)),"")</f>
        <v/>
      </c>
      <c r="C451" t="str">
        <f>IFERROR(IF(OR(INDEX(tblTrans[ProductID],450)="",ISNUMBER(SEARCH("ProductID",INDEX(tblTrans[ProductID],450)))),"",INDEX(tblTrans[Location],450)),"")</f>
        <v/>
      </c>
      <c r="D451" t="str">
        <f>IFERROR(IF(OR(INDEX(tblTrans[ProductID],450)="",ISNUMBER(SEARCH("ProductID",INDEX(tblTrans[ProductID],450)))),"",INDEX(tblTrans[Quantity],450)),"")</f>
        <v/>
      </c>
      <c r="E451" t="str">
        <f>IFERROR(IF(OR(INDEX(tblTrans[ProductID],450)="",ISNUMBER(SEARCH("ProductID",INDEX(tblTrans[ProductID],450)))),"",INDEX(tblTrans[Type],450)),"")</f>
        <v/>
      </c>
      <c r="F451" t="str">
        <f>IFERROR(IF(OR(INDEX(tblTrans[ProductID],450)="",ISNUMBER(SEARCH("ProductID",INDEX(tblTrans[ProductID],450)))),"",_xlfn.XLOOKUP(B451,tblProducts[ProductID],tblProducts[ProductName],"")),"")</f>
        <v/>
      </c>
      <c r="G451" t="str">
        <f>IFERROR(IF(OR(INDEX(tblTrans[ProductID],450)="",ISNUMBER(SEARCH("ProductID",INDEX(tblTrans[ProductID],450)))),"",_xlfn.XLOOKUP(B451,tblProducts[ProductID],tblProducts[Category],"")),"")</f>
        <v/>
      </c>
      <c r="H451" t="str">
        <f>IFERROR(IF(OR(INDEX(tblTrans[ProductID],450)="",ISNUMBER(SEARCH("ProductID",INDEX(tblTrans[ProductID],450)))),"",_xlfn.XLOOKUP(B451,tblProducts[ProductID],tblProducts[Supplier],"")),"")</f>
        <v/>
      </c>
      <c r="I451" t="str">
        <f>IFERROR(IF(OR(INDEX(tblTrans[ProductID],450)="",ISNUMBER(SEARCH("ProductID",INDEX(tblTrans[ProductID],450)))),"",D451*_xlfn.XLOOKUP(B451,tblProducts[ProductID],tblProducts[UnitCost],0)),"")</f>
        <v/>
      </c>
    </row>
    <row r="452" spans="1:9" x14ac:dyDescent="0.3">
      <c r="A452" s="5" t="str">
        <f>IFERROR(IF(OR(INDEX(tblTrans[ProductID],451)="",ISNUMBER(SEARCH("ProductID",INDEX(tblTrans[ProductID],451)))),"",INDEX(tblTrans[Date],451)),"")</f>
        <v/>
      </c>
      <c r="B452" t="str">
        <f>IFERROR(IF(OR(INDEX(tblTrans[ProductID],451)="",ISNUMBER(SEARCH("ProductID",INDEX(tblTrans[ProductID],451)))),"",INDEX(tblTrans[ProductID],451)),"")</f>
        <v/>
      </c>
      <c r="C452" t="str">
        <f>IFERROR(IF(OR(INDEX(tblTrans[ProductID],451)="",ISNUMBER(SEARCH("ProductID",INDEX(tblTrans[ProductID],451)))),"",INDEX(tblTrans[Location],451)),"")</f>
        <v/>
      </c>
      <c r="D452" t="str">
        <f>IFERROR(IF(OR(INDEX(tblTrans[ProductID],451)="",ISNUMBER(SEARCH("ProductID",INDEX(tblTrans[ProductID],451)))),"",INDEX(tblTrans[Quantity],451)),"")</f>
        <v/>
      </c>
      <c r="E452" t="str">
        <f>IFERROR(IF(OR(INDEX(tblTrans[ProductID],451)="",ISNUMBER(SEARCH("ProductID",INDEX(tblTrans[ProductID],451)))),"",INDEX(tblTrans[Type],451)),"")</f>
        <v/>
      </c>
      <c r="F452" t="str">
        <f>IFERROR(IF(OR(INDEX(tblTrans[ProductID],451)="",ISNUMBER(SEARCH("ProductID",INDEX(tblTrans[ProductID],451)))),"",_xlfn.XLOOKUP(B452,tblProducts[ProductID],tblProducts[ProductName],"")),"")</f>
        <v/>
      </c>
      <c r="G452" t="str">
        <f>IFERROR(IF(OR(INDEX(tblTrans[ProductID],451)="",ISNUMBER(SEARCH("ProductID",INDEX(tblTrans[ProductID],451)))),"",_xlfn.XLOOKUP(B452,tblProducts[ProductID],tblProducts[Category],"")),"")</f>
        <v/>
      </c>
      <c r="H452" t="str">
        <f>IFERROR(IF(OR(INDEX(tblTrans[ProductID],451)="",ISNUMBER(SEARCH("ProductID",INDEX(tblTrans[ProductID],451)))),"",_xlfn.XLOOKUP(B452,tblProducts[ProductID],tblProducts[Supplier],"")),"")</f>
        <v/>
      </c>
      <c r="I452" t="str">
        <f>IFERROR(IF(OR(INDEX(tblTrans[ProductID],451)="",ISNUMBER(SEARCH("ProductID",INDEX(tblTrans[ProductID],451)))),"",D452*_xlfn.XLOOKUP(B452,tblProducts[ProductID],tblProducts[UnitCost],0)),"")</f>
        <v/>
      </c>
    </row>
    <row r="453" spans="1:9" x14ac:dyDescent="0.3">
      <c r="A453" s="5" t="str">
        <f>IFERROR(IF(OR(INDEX(tblTrans[ProductID],452)="",ISNUMBER(SEARCH("ProductID",INDEX(tblTrans[ProductID],452)))),"",INDEX(tblTrans[Date],452)),"")</f>
        <v/>
      </c>
      <c r="B453" t="str">
        <f>IFERROR(IF(OR(INDEX(tblTrans[ProductID],452)="",ISNUMBER(SEARCH("ProductID",INDEX(tblTrans[ProductID],452)))),"",INDEX(tblTrans[ProductID],452)),"")</f>
        <v/>
      </c>
      <c r="C453" t="str">
        <f>IFERROR(IF(OR(INDEX(tblTrans[ProductID],452)="",ISNUMBER(SEARCH("ProductID",INDEX(tblTrans[ProductID],452)))),"",INDEX(tblTrans[Location],452)),"")</f>
        <v/>
      </c>
      <c r="D453" t="str">
        <f>IFERROR(IF(OR(INDEX(tblTrans[ProductID],452)="",ISNUMBER(SEARCH("ProductID",INDEX(tblTrans[ProductID],452)))),"",INDEX(tblTrans[Quantity],452)),"")</f>
        <v/>
      </c>
      <c r="E453" t="str">
        <f>IFERROR(IF(OR(INDEX(tblTrans[ProductID],452)="",ISNUMBER(SEARCH("ProductID",INDEX(tblTrans[ProductID],452)))),"",INDEX(tblTrans[Type],452)),"")</f>
        <v/>
      </c>
      <c r="F453" t="str">
        <f>IFERROR(IF(OR(INDEX(tblTrans[ProductID],452)="",ISNUMBER(SEARCH("ProductID",INDEX(tblTrans[ProductID],452)))),"",_xlfn.XLOOKUP(B453,tblProducts[ProductID],tblProducts[ProductName],"")),"")</f>
        <v/>
      </c>
      <c r="G453" t="str">
        <f>IFERROR(IF(OR(INDEX(tblTrans[ProductID],452)="",ISNUMBER(SEARCH("ProductID",INDEX(tblTrans[ProductID],452)))),"",_xlfn.XLOOKUP(B453,tblProducts[ProductID],tblProducts[Category],"")),"")</f>
        <v/>
      </c>
      <c r="H453" t="str">
        <f>IFERROR(IF(OR(INDEX(tblTrans[ProductID],452)="",ISNUMBER(SEARCH("ProductID",INDEX(tblTrans[ProductID],452)))),"",_xlfn.XLOOKUP(B453,tblProducts[ProductID],tblProducts[Supplier],"")),"")</f>
        <v/>
      </c>
      <c r="I453" t="str">
        <f>IFERROR(IF(OR(INDEX(tblTrans[ProductID],452)="",ISNUMBER(SEARCH("ProductID",INDEX(tblTrans[ProductID],452)))),"",D453*_xlfn.XLOOKUP(B453,tblProducts[ProductID],tblProducts[UnitCost],0)),"")</f>
        <v/>
      </c>
    </row>
    <row r="454" spans="1:9" x14ac:dyDescent="0.3">
      <c r="A454" s="5" t="str">
        <f>IFERROR(IF(OR(INDEX(tblTrans[ProductID],453)="",ISNUMBER(SEARCH("ProductID",INDEX(tblTrans[ProductID],453)))),"",INDEX(tblTrans[Date],453)),"")</f>
        <v/>
      </c>
      <c r="B454" t="str">
        <f>IFERROR(IF(OR(INDEX(tblTrans[ProductID],453)="",ISNUMBER(SEARCH("ProductID",INDEX(tblTrans[ProductID],453)))),"",INDEX(tblTrans[ProductID],453)),"")</f>
        <v/>
      </c>
      <c r="C454" t="str">
        <f>IFERROR(IF(OR(INDEX(tblTrans[ProductID],453)="",ISNUMBER(SEARCH("ProductID",INDEX(tblTrans[ProductID],453)))),"",INDEX(tblTrans[Location],453)),"")</f>
        <v/>
      </c>
      <c r="D454" t="str">
        <f>IFERROR(IF(OR(INDEX(tblTrans[ProductID],453)="",ISNUMBER(SEARCH("ProductID",INDEX(tblTrans[ProductID],453)))),"",INDEX(tblTrans[Quantity],453)),"")</f>
        <v/>
      </c>
      <c r="E454" t="str">
        <f>IFERROR(IF(OR(INDEX(tblTrans[ProductID],453)="",ISNUMBER(SEARCH("ProductID",INDEX(tblTrans[ProductID],453)))),"",INDEX(tblTrans[Type],453)),"")</f>
        <v/>
      </c>
      <c r="F454" t="str">
        <f>IFERROR(IF(OR(INDEX(tblTrans[ProductID],453)="",ISNUMBER(SEARCH("ProductID",INDEX(tblTrans[ProductID],453)))),"",_xlfn.XLOOKUP(B454,tblProducts[ProductID],tblProducts[ProductName],"")),"")</f>
        <v/>
      </c>
      <c r="G454" t="str">
        <f>IFERROR(IF(OR(INDEX(tblTrans[ProductID],453)="",ISNUMBER(SEARCH("ProductID",INDEX(tblTrans[ProductID],453)))),"",_xlfn.XLOOKUP(B454,tblProducts[ProductID],tblProducts[Category],"")),"")</f>
        <v/>
      </c>
      <c r="H454" t="str">
        <f>IFERROR(IF(OR(INDEX(tblTrans[ProductID],453)="",ISNUMBER(SEARCH("ProductID",INDEX(tblTrans[ProductID],453)))),"",_xlfn.XLOOKUP(B454,tblProducts[ProductID],tblProducts[Supplier],"")),"")</f>
        <v/>
      </c>
      <c r="I454" t="str">
        <f>IFERROR(IF(OR(INDEX(tblTrans[ProductID],453)="",ISNUMBER(SEARCH("ProductID",INDEX(tblTrans[ProductID],453)))),"",D454*_xlfn.XLOOKUP(B454,tblProducts[ProductID],tblProducts[UnitCost],0)),"")</f>
        <v/>
      </c>
    </row>
    <row r="455" spans="1:9" x14ac:dyDescent="0.3">
      <c r="A455" s="5" t="str">
        <f>IFERROR(IF(OR(INDEX(tblTrans[ProductID],454)="",ISNUMBER(SEARCH("ProductID",INDEX(tblTrans[ProductID],454)))),"",INDEX(tblTrans[Date],454)),"")</f>
        <v/>
      </c>
      <c r="B455" t="str">
        <f>IFERROR(IF(OR(INDEX(tblTrans[ProductID],454)="",ISNUMBER(SEARCH("ProductID",INDEX(tblTrans[ProductID],454)))),"",INDEX(tblTrans[ProductID],454)),"")</f>
        <v/>
      </c>
      <c r="C455" t="str">
        <f>IFERROR(IF(OR(INDEX(tblTrans[ProductID],454)="",ISNUMBER(SEARCH("ProductID",INDEX(tblTrans[ProductID],454)))),"",INDEX(tblTrans[Location],454)),"")</f>
        <v/>
      </c>
      <c r="D455" t="str">
        <f>IFERROR(IF(OR(INDEX(tblTrans[ProductID],454)="",ISNUMBER(SEARCH("ProductID",INDEX(tblTrans[ProductID],454)))),"",INDEX(tblTrans[Quantity],454)),"")</f>
        <v/>
      </c>
      <c r="E455" t="str">
        <f>IFERROR(IF(OR(INDEX(tblTrans[ProductID],454)="",ISNUMBER(SEARCH("ProductID",INDEX(tblTrans[ProductID],454)))),"",INDEX(tblTrans[Type],454)),"")</f>
        <v/>
      </c>
      <c r="F455" t="str">
        <f>IFERROR(IF(OR(INDEX(tblTrans[ProductID],454)="",ISNUMBER(SEARCH("ProductID",INDEX(tblTrans[ProductID],454)))),"",_xlfn.XLOOKUP(B455,tblProducts[ProductID],tblProducts[ProductName],"")),"")</f>
        <v/>
      </c>
      <c r="G455" t="str">
        <f>IFERROR(IF(OR(INDEX(tblTrans[ProductID],454)="",ISNUMBER(SEARCH("ProductID",INDEX(tblTrans[ProductID],454)))),"",_xlfn.XLOOKUP(B455,tblProducts[ProductID],tblProducts[Category],"")),"")</f>
        <v/>
      </c>
      <c r="H455" t="str">
        <f>IFERROR(IF(OR(INDEX(tblTrans[ProductID],454)="",ISNUMBER(SEARCH("ProductID",INDEX(tblTrans[ProductID],454)))),"",_xlfn.XLOOKUP(B455,tblProducts[ProductID],tblProducts[Supplier],"")),"")</f>
        <v/>
      </c>
      <c r="I455" t="str">
        <f>IFERROR(IF(OR(INDEX(tblTrans[ProductID],454)="",ISNUMBER(SEARCH("ProductID",INDEX(tblTrans[ProductID],454)))),"",D455*_xlfn.XLOOKUP(B455,tblProducts[ProductID],tblProducts[UnitCost],0)),"")</f>
        <v/>
      </c>
    </row>
    <row r="456" spans="1:9" x14ac:dyDescent="0.3">
      <c r="A456" s="5" t="str">
        <f>IFERROR(IF(OR(INDEX(tblTrans[ProductID],455)="",ISNUMBER(SEARCH("ProductID",INDEX(tblTrans[ProductID],455)))),"",INDEX(tblTrans[Date],455)),"")</f>
        <v/>
      </c>
      <c r="B456" t="str">
        <f>IFERROR(IF(OR(INDEX(tblTrans[ProductID],455)="",ISNUMBER(SEARCH("ProductID",INDEX(tblTrans[ProductID],455)))),"",INDEX(tblTrans[ProductID],455)),"")</f>
        <v/>
      </c>
      <c r="C456" t="str">
        <f>IFERROR(IF(OR(INDEX(tblTrans[ProductID],455)="",ISNUMBER(SEARCH("ProductID",INDEX(tblTrans[ProductID],455)))),"",INDEX(tblTrans[Location],455)),"")</f>
        <v/>
      </c>
      <c r="D456" t="str">
        <f>IFERROR(IF(OR(INDEX(tblTrans[ProductID],455)="",ISNUMBER(SEARCH("ProductID",INDEX(tblTrans[ProductID],455)))),"",INDEX(tblTrans[Quantity],455)),"")</f>
        <v/>
      </c>
      <c r="E456" t="str">
        <f>IFERROR(IF(OR(INDEX(tblTrans[ProductID],455)="",ISNUMBER(SEARCH("ProductID",INDEX(tblTrans[ProductID],455)))),"",INDEX(tblTrans[Type],455)),"")</f>
        <v/>
      </c>
      <c r="F456" t="str">
        <f>IFERROR(IF(OR(INDEX(tblTrans[ProductID],455)="",ISNUMBER(SEARCH("ProductID",INDEX(tblTrans[ProductID],455)))),"",_xlfn.XLOOKUP(B456,tblProducts[ProductID],tblProducts[ProductName],"")),"")</f>
        <v/>
      </c>
      <c r="G456" t="str">
        <f>IFERROR(IF(OR(INDEX(tblTrans[ProductID],455)="",ISNUMBER(SEARCH("ProductID",INDEX(tblTrans[ProductID],455)))),"",_xlfn.XLOOKUP(B456,tblProducts[ProductID],tblProducts[Category],"")),"")</f>
        <v/>
      </c>
      <c r="H456" t="str">
        <f>IFERROR(IF(OR(INDEX(tblTrans[ProductID],455)="",ISNUMBER(SEARCH("ProductID",INDEX(tblTrans[ProductID],455)))),"",_xlfn.XLOOKUP(B456,tblProducts[ProductID],tblProducts[Supplier],"")),"")</f>
        <v/>
      </c>
      <c r="I456" t="str">
        <f>IFERROR(IF(OR(INDEX(tblTrans[ProductID],455)="",ISNUMBER(SEARCH("ProductID",INDEX(tblTrans[ProductID],455)))),"",D456*_xlfn.XLOOKUP(B456,tblProducts[ProductID],tblProducts[UnitCost],0)),"")</f>
        <v/>
      </c>
    </row>
    <row r="457" spans="1:9" x14ac:dyDescent="0.3">
      <c r="A457" s="5" t="str">
        <f>IFERROR(IF(OR(INDEX(tblTrans[ProductID],456)="",ISNUMBER(SEARCH("ProductID",INDEX(tblTrans[ProductID],456)))),"",INDEX(tblTrans[Date],456)),"")</f>
        <v/>
      </c>
      <c r="B457" t="str">
        <f>IFERROR(IF(OR(INDEX(tblTrans[ProductID],456)="",ISNUMBER(SEARCH("ProductID",INDEX(tblTrans[ProductID],456)))),"",INDEX(tblTrans[ProductID],456)),"")</f>
        <v/>
      </c>
      <c r="C457" t="str">
        <f>IFERROR(IF(OR(INDEX(tblTrans[ProductID],456)="",ISNUMBER(SEARCH("ProductID",INDEX(tblTrans[ProductID],456)))),"",INDEX(tblTrans[Location],456)),"")</f>
        <v/>
      </c>
      <c r="D457" t="str">
        <f>IFERROR(IF(OR(INDEX(tblTrans[ProductID],456)="",ISNUMBER(SEARCH("ProductID",INDEX(tblTrans[ProductID],456)))),"",INDEX(tblTrans[Quantity],456)),"")</f>
        <v/>
      </c>
      <c r="E457" t="str">
        <f>IFERROR(IF(OR(INDEX(tblTrans[ProductID],456)="",ISNUMBER(SEARCH("ProductID",INDEX(tblTrans[ProductID],456)))),"",INDEX(tblTrans[Type],456)),"")</f>
        <v/>
      </c>
      <c r="F457" t="str">
        <f>IFERROR(IF(OR(INDEX(tblTrans[ProductID],456)="",ISNUMBER(SEARCH("ProductID",INDEX(tblTrans[ProductID],456)))),"",_xlfn.XLOOKUP(B457,tblProducts[ProductID],tblProducts[ProductName],"")),"")</f>
        <v/>
      </c>
      <c r="G457" t="str">
        <f>IFERROR(IF(OR(INDEX(tblTrans[ProductID],456)="",ISNUMBER(SEARCH("ProductID",INDEX(tblTrans[ProductID],456)))),"",_xlfn.XLOOKUP(B457,tblProducts[ProductID],tblProducts[Category],"")),"")</f>
        <v/>
      </c>
      <c r="H457" t="str">
        <f>IFERROR(IF(OR(INDEX(tblTrans[ProductID],456)="",ISNUMBER(SEARCH("ProductID",INDEX(tblTrans[ProductID],456)))),"",_xlfn.XLOOKUP(B457,tblProducts[ProductID],tblProducts[Supplier],"")),"")</f>
        <v/>
      </c>
      <c r="I457" t="str">
        <f>IFERROR(IF(OR(INDEX(tblTrans[ProductID],456)="",ISNUMBER(SEARCH("ProductID",INDEX(tblTrans[ProductID],456)))),"",D457*_xlfn.XLOOKUP(B457,tblProducts[ProductID],tblProducts[UnitCost],0)),"")</f>
        <v/>
      </c>
    </row>
    <row r="458" spans="1:9" x14ac:dyDescent="0.3">
      <c r="A458" s="5" t="str">
        <f>IFERROR(IF(OR(INDEX(tblTrans[ProductID],457)="",ISNUMBER(SEARCH("ProductID",INDEX(tblTrans[ProductID],457)))),"",INDEX(tblTrans[Date],457)),"")</f>
        <v/>
      </c>
      <c r="B458" t="str">
        <f>IFERROR(IF(OR(INDEX(tblTrans[ProductID],457)="",ISNUMBER(SEARCH("ProductID",INDEX(tblTrans[ProductID],457)))),"",INDEX(tblTrans[ProductID],457)),"")</f>
        <v/>
      </c>
      <c r="C458" t="str">
        <f>IFERROR(IF(OR(INDEX(tblTrans[ProductID],457)="",ISNUMBER(SEARCH("ProductID",INDEX(tblTrans[ProductID],457)))),"",INDEX(tblTrans[Location],457)),"")</f>
        <v/>
      </c>
      <c r="D458" t="str">
        <f>IFERROR(IF(OR(INDEX(tblTrans[ProductID],457)="",ISNUMBER(SEARCH("ProductID",INDEX(tblTrans[ProductID],457)))),"",INDEX(tblTrans[Quantity],457)),"")</f>
        <v/>
      </c>
      <c r="E458" t="str">
        <f>IFERROR(IF(OR(INDEX(tblTrans[ProductID],457)="",ISNUMBER(SEARCH("ProductID",INDEX(tblTrans[ProductID],457)))),"",INDEX(tblTrans[Type],457)),"")</f>
        <v/>
      </c>
      <c r="F458" t="str">
        <f>IFERROR(IF(OR(INDEX(tblTrans[ProductID],457)="",ISNUMBER(SEARCH("ProductID",INDEX(tblTrans[ProductID],457)))),"",_xlfn.XLOOKUP(B458,tblProducts[ProductID],tblProducts[ProductName],"")),"")</f>
        <v/>
      </c>
      <c r="G458" t="str">
        <f>IFERROR(IF(OR(INDEX(tblTrans[ProductID],457)="",ISNUMBER(SEARCH("ProductID",INDEX(tblTrans[ProductID],457)))),"",_xlfn.XLOOKUP(B458,tblProducts[ProductID],tblProducts[Category],"")),"")</f>
        <v/>
      </c>
      <c r="H458" t="str">
        <f>IFERROR(IF(OR(INDEX(tblTrans[ProductID],457)="",ISNUMBER(SEARCH("ProductID",INDEX(tblTrans[ProductID],457)))),"",_xlfn.XLOOKUP(B458,tblProducts[ProductID],tblProducts[Supplier],"")),"")</f>
        <v/>
      </c>
      <c r="I458" t="str">
        <f>IFERROR(IF(OR(INDEX(tblTrans[ProductID],457)="",ISNUMBER(SEARCH("ProductID",INDEX(tblTrans[ProductID],457)))),"",D458*_xlfn.XLOOKUP(B458,tblProducts[ProductID],tblProducts[UnitCost],0)),"")</f>
        <v/>
      </c>
    </row>
    <row r="459" spans="1:9" x14ac:dyDescent="0.3">
      <c r="A459" s="5" t="str">
        <f>IFERROR(IF(OR(INDEX(tblTrans[ProductID],458)="",ISNUMBER(SEARCH("ProductID",INDEX(tblTrans[ProductID],458)))),"",INDEX(tblTrans[Date],458)),"")</f>
        <v/>
      </c>
      <c r="B459" t="str">
        <f>IFERROR(IF(OR(INDEX(tblTrans[ProductID],458)="",ISNUMBER(SEARCH("ProductID",INDEX(tblTrans[ProductID],458)))),"",INDEX(tblTrans[ProductID],458)),"")</f>
        <v/>
      </c>
      <c r="C459" t="str">
        <f>IFERROR(IF(OR(INDEX(tblTrans[ProductID],458)="",ISNUMBER(SEARCH("ProductID",INDEX(tblTrans[ProductID],458)))),"",INDEX(tblTrans[Location],458)),"")</f>
        <v/>
      </c>
      <c r="D459" t="str">
        <f>IFERROR(IF(OR(INDEX(tblTrans[ProductID],458)="",ISNUMBER(SEARCH("ProductID",INDEX(tblTrans[ProductID],458)))),"",INDEX(tblTrans[Quantity],458)),"")</f>
        <v/>
      </c>
      <c r="E459" t="str">
        <f>IFERROR(IF(OR(INDEX(tblTrans[ProductID],458)="",ISNUMBER(SEARCH("ProductID",INDEX(tblTrans[ProductID],458)))),"",INDEX(tblTrans[Type],458)),"")</f>
        <v/>
      </c>
      <c r="F459" t="str">
        <f>IFERROR(IF(OR(INDEX(tblTrans[ProductID],458)="",ISNUMBER(SEARCH("ProductID",INDEX(tblTrans[ProductID],458)))),"",_xlfn.XLOOKUP(B459,tblProducts[ProductID],tblProducts[ProductName],"")),"")</f>
        <v/>
      </c>
      <c r="G459" t="str">
        <f>IFERROR(IF(OR(INDEX(tblTrans[ProductID],458)="",ISNUMBER(SEARCH("ProductID",INDEX(tblTrans[ProductID],458)))),"",_xlfn.XLOOKUP(B459,tblProducts[ProductID],tblProducts[Category],"")),"")</f>
        <v/>
      </c>
      <c r="H459" t="str">
        <f>IFERROR(IF(OR(INDEX(tblTrans[ProductID],458)="",ISNUMBER(SEARCH("ProductID",INDEX(tblTrans[ProductID],458)))),"",_xlfn.XLOOKUP(B459,tblProducts[ProductID],tblProducts[Supplier],"")),"")</f>
        <v/>
      </c>
      <c r="I459" t="str">
        <f>IFERROR(IF(OR(INDEX(tblTrans[ProductID],458)="",ISNUMBER(SEARCH("ProductID",INDEX(tblTrans[ProductID],458)))),"",D459*_xlfn.XLOOKUP(B459,tblProducts[ProductID],tblProducts[UnitCost],0)),"")</f>
        <v/>
      </c>
    </row>
    <row r="460" spans="1:9" x14ac:dyDescent="0.3">
      <c r="A460" s="5" t="str">
        <f>IFERROR(IF(OR(INDEX(tblTrans[ProductID],459)="",ISNUMBER(SEARCH("ProductID",INDEX(tblTrans[ProductID],459)))),"",INDEX(tblTrans[Date],459)),"")</f>
        <v/>
      </c>
      <c r="B460" t="str">
        <f>IFERROR(IF(OR(INDEX(tblTrans[ProductID],459)="",ISNUMBER(SEARCH("ProductID",INDEX(tblTrans[ProductID],459)))),"",INDEX(tblTrans[ProductID],459)),"")</f>
        <v/>
      </c>
      <c r="C460" t="str">
        <f>IFERROR(IF(OR(INDEX(tblTrans[ProductID],459)="",ISNUMBER(SEARCH("ProductID",INDEX(tblTrans[ProductID],459)))),"",INDEX(tblTrans[Location],459)),"")</f>
        <v/>
      </c>
      <c r="D460" t="str">
        <f>IFERROR(IF(OR(INDEX(tblTrans[ProductID],459)="",ISNUMBER(SEARCH("ProductID",INDEX(tblTrans[ProductID],459)))),"",INDEX(tblTrans[Quantity],459)),"")</f>
        <v/>
      </c>
      <c r="E460" t="str">
        <f>IFERROR(IF(OR(INDEX(tblTrans[ProductID],459)="",ISNUMBER(SEARCH("ProductID",INDEX(tblTrans[ProductID],459)))),"",INDEX(tblTrans[Type],459)),"")</f>
        <v/>
      </c>
      <c r="F460" t="str">
        <f>IFERROR(IF(OR(INDEX(tblTrans[ProductID],459)="",ISNUMBER(SEARCH("ProductID",INDEX(tblTrans[ProductID],459)))),"",_xlfn.XLOOKUP(B460,tblProducts[ProductID],tblProducts[ProductName],"")),"")</f>
        <v/>
      </c>
      <c r="G460" t="str">
        <f>IFERROR(IF(OR(INDEX(tblTrans[ProductID],459)="",ISNUMBER(SEARCH("ProductID",INDEX(tblTrans[ProductID],459)))),"",_xlfn.XLOOKUP(B460,tblProducts[ProductID],tblProducts[Category],"")),"")</f>
        <v/>
      </c>
      <c r="H460" t="str">
        <f>IFERROR(IF(OR(INDEX(tblTrans[ProductID],459)="",ISNUMBER(SEARCH("ProductID",INDEX(tblTrans[ProductID],459)))),"",_xlfn.XLOOKUP(B460,tblProducts[ProductID],tblProducts[Supplier],"")),"")</f>
        <v/>
      </c>
      <c r="I460" t="str">
        <f>IFERROR(IF(OR(INDEX(tblTrans[ProductID],459)="",ISNUMBER(SEARCH("ProductID",INDEX(tblTrans[ProductID],459)))),"",D460*_xlfn.XLOOKUP(B460,tblProducts[ProductID],tblProducts[UnitCost],0)),"")</f>
        <v/>
      </c>
    </row>
    <row r="461" spans="1:9" x14ac:dyDescent="0.3">
      <c r="A461" s="5" t="str">
        <f>IFERROR(IF(OR(INDEX(tblTrans[ProductID],460)="",ISNUMBER(SEARCH("ProductID",INDEX(tblTrans[ProductID],460)))),"",INDEX(tblTrans[Date],460)),"")</f>
        <v/>
      </c>
      <c r="B461" t="str">
        <f>IFERROR(IF(OR(INDEX(tblTrans[ProductID],460)="",ISNUMBER(SEARCH("ProductID",INDEX(tblTrans[ProductID],460)))),"",INDEX(tblTrans[ProductID],460)),"")</f>
        <v/>
      </c>
      <c r="C461" t="str">
        <f>IFERROR(IF(OR(INDEX(tblTrans[ProductID],460)="",ISNUMBER(SEARCH("ProductID",INDEX(tblTrans[ProductID],460)))),"",INDEX(tblTrans[Location],460)),"")</f>
        <v/>
      </c>
      <c r="D461" t="str">
        <f>IFERROR(IF(OR(INDEX(tblTrans[ProductID],460)="",ISNUMBER(SEARCH("ProductID",INDEX(tblTrans[ProductID],460)))),"",INDEX(tblTrans[Quantity],460)),"")</f>
        <v/>
      </c>
      <c r="E461" t="str">
        <f>IFERROR(IF(OR(INDEX(tblTrans[ProductID],460)="",ISNUMBER(SEARCH("ProductID",INDEX(tblTrans[ProductID],460)))),"",INDEX(tblTrans[Type],460)),"")</f>
        <v/>
      </c>
      <c r="F461" t="str">
        <f>IFERROR(IF(OR(INDEX(tblTrans[ProductID],460)="",ISNUMBER(SEARCH("ProductID",INDEX(tblTrans[ProductID],460)))),"",_xlfn.XLOOKUP(B461,tblProducts[ProductID],tblProducts[ProductName],"")),"")</f>
        <v/>
      </c>
      <c r="G461" t="str">
        <f>IFERROR(IF(OR(INDEX(tblTrans[ProductID],460)="",ISNUMBER(SEARCH("ProductID",INDEX(tblTrans[ProductID],460)))),"",_xlfn.XLOOKUP(B461,tblProducts[ProductID],tblProducts[Category],"")),"")</f>
        <v/>
      </c>
      <c r="H461" t="str">
        <f>IFERROR(IF(OR(INDEX(tblTrans[ProductID],460)="",ISNUMBER(SEARCH("ProductID",INDEX(tblTrans[ProductID],460)))),"",_xlfn.XLOOKUP(B461,tblProducts[ProductID],tblProducts[Supplier],"")),"")</f>
        <v/>
      </c>
      <c r="I461" t="str">
        <f>IFERROR(IF(OR(INDEX(tblTrans[ProductID],460)="",ISNUMBER(SEARCH("ProductID",INDEX(tblTrans[ProductID],460)))),"",D461*_xlfn.XLOOKUP(B461,tblProducts[ProductID],tblProducts[UnitCost],0)),"")</f>
        <v/>
      </c>
    </row>
    <row r="462" spans="1:9" x14ac:dyDescent="0.3">
      <c r="A462" s="5" t="str">
        <f>IFERROR(IF(OR(INDEX(tblTrans[ProductID],461)="",ISNUMBER(SEARCH("ProductID",INDEX(tblTrans[ProductID],461)))),"",INDEX(tblTrans[Date],461)),"")</f>
        <v/>
      </c>
      <c r="B462" t="str">
        <f>IFERROR(IF(OR(INDEX(tblTrans[ProductID],461)="",ISNUMBER(SEARCH("ProductID",INDEX(tblTrans[ProductID],461)))),"",INDEX(tblTrans[ProductID],461)),"")</f>
        <v/>
      </c>
      <c r="C462" t="str">
        <f>IFERROR(IF(OR(INDEX(tblTrans[ProductID],461)="",ISNUMBER(SEARCH("ProductID",INDEX(tblTrans[ProductID],461)))),"",INDEX(tblTrans[Location],461)),"")</f>
        <v/>
      </c>
      <c r="D462" t="str">
        <f>IFERROR(IF(OR(INDEX(tblTrans[ProductID],461)="",ISNUMBER(SEARCH("ProductID",INDEX(tblTrans[ProductID],461)))),"",INDEX(tblTrans[Quantity],461)),"")</f>
        <v/>
      </c>
      <c r="E462" t="str">
        <f>IFERROR(IF(OR(INDEX(tblTrans[ProductID],461)="",ISNUMBER(SEARCH("ProductID",INDEX(tblTrans[ProductID],461)))),"",INDEX(tblTrans[Type],461)),"")</f>
        <v/>
      </c>
      <c r="F462" t="str">
        <f>IFERROR(IF(OR(INDEX(tblTrans[ProductID],461)="",ISNUMBER(SEARCH("ProductID",INDEX(tblTrans[ProductID],461)))),"",_xlfn.XLOOKUP(B462,tblProducts[ProductID],tblProducts[ProductName],"")),"")</f>
        <v/>
      </c>
      <c r="G462" t="str">
        <f>IFERROR(IF(OR(INDEX(tblTrans[ProductID],461)="",ISNUMBER(SEARCH("ProductID",INDEX(tblTrans[ProductID],461)))),"",_xlfn.XLOOKUP(B462,tblProducts[ProductID],tblProducts[Category],"")),"")</f>
        <v/>
      </c>
      <c r="H462" t="str">
        <f>IFERROR(IF(OR(INDEX(tblTrans[ProductID],461)="",ISNUMBER(SEARCH("ProductID",INDEX(tblTrans[ProductID],461)))),"",_xlfn.XLOOKUP(B462,tblProducts[ProductID],tblProducts[Supplier],"")),"")</f>
        <v/>
      </c>
      <c r="I462" t="str">
        <f>IFERROR(IF(OR(INDEX(tblTrans[ProductID],461)="",ISNUMBER(SEARCH("ProductID",INDEX(tblTrans[ProductID],461)))),"",D462*_xlfn.XLOOKUP(B462,tblProducts[ProductID],tblProducts[UnitCost],0)),"")</f>
        <v/>
      </c>
    </row>
    <row r="463" spans="1:9" x14ac:dyDescent="0.3">
      <c r="A463" s="5" t="str">
        <f>IFERROR(IF(OR(INDEX(tblTrans[ProductID],462)="",ISNUMBER(SEARCH("ProductID",INDEX(tblTrans[ProductID],462)))),"",INDEX(tblTrans[Date],462)),"")</f>
        <v/>
      </c>
      <c r="B463" t="str">
        <f>IFERROR(IF(OR(INDEX(tblTrans[ProductID],462)="",ISNUMBER(SEARCH("ProductID",INDEX(tblTrans[ProductID],462)))),"",INDEX(tblTrans[ProductID],462)),"")</f>
        <v/>
      </c>
      <c r="C463" t="str">
        <f>IFERROR(IF(OR(INDEX(tblTrans[ProductID],462)="",ISNUMBER(SEARCH("ProductID",INDEX(tblTrans[ProductID],462)))),"",INDEX(tblTrans[Location],462)),"")</f>
        <v/>
      </c>
      <c r="D463" t="str">
        <f>IFERROR(IF(OR(INDEX(tblTrans[ProductID],462)="",ISNUMBER(SEARCH("ProductID",INDEX(tblTrans[ProductID],462)))),"",INDEX(tblTrans[Quantity],462)),"")</f>
        <v/>
      </c>
      <c r="E463" t="str">
        <f>IFERROR(IF(OR(INDEX(tblTrans[ProductID],462)="",ISNUMBER(SEARCH("ProductID",INDEX(tblTrans[ProductID],462)))),"",INDEX(tblTrans[Type],462)),"")</f>
        <v/>
      </c>
      <c r="F463" t="str">
        <f>IFERROR(IF(OR(INDEX(tblTrans[ProductID],462)="",ISNUMBER(SEARCH("ProductID",INDEX(tblTrans[ProductID],462)))),"",_xlfn.XLOOKUP(B463,tblProducts[ProductID],tblProducts[ProductName],"")),"")</f>
        <v/>
      </c>
      <c r="G463" t="str">
        <f>IFERROR(IF(OR(INDEX(tblTrans[ProductID],462)="",ISNUMBER(SEARCH("ProductID",INDEX(tblTrans[ProductID],462)))),"",_xlfn.XLOOKUP(B463,tblProducts[ProductID],tblProducts[Category],"")),"")</f>
        <v/>
      </c>
      <c r="H463" t="str">
        <f>IFERROR(IF(OR(INDEX(tblTrans[ProductID],462)="",ISNUMBER(SEARCH("ProductID",INDEX(tblTrans[ProductID],462)))),"",_xlfn.XLOOKUP(B463,tblProducts[ProductID],tblProducts[Supplier],"")),"")</f>
        <v/>
      </c>
      <c r="I463" t="str">
        <f>IFERROR(IF(OR(INDEX(tblTrans[ProductID],462)="",ISNUMBER(SEARCH("ProductID",INDEX(tblTrans[ProductID],462)))),"",D463*_xlfn.XLOOKUP(B463,tblProducts[ProductID],tblProducts[UnitCost],0)),"")</f>
        <v/>
      </c>
    </row>
    <row r="464" spans="1:9" x14ac:dyDescent="0.3">
      <c r="A464" s="5" t="str">
        <f>IFERROR(IF(OR(INDEX(tblTrans[ProductID],463)="",ISNUMBER(SEARCH("ProductID",INDEX(tblTrans[ProductID],463)))),"",INDEX(tblTrans[Date],463)),"")</f>
        <v/>
      </c>
      <c r="B464" t="str">
        <f>IFERROR(IF(OR(INDEX(tblTrans[ProductID],463)="",ISNUMBER(SEARCH("ProductID",INDEX(tblTrans[ProductID],463)))),"",INDEX(tblTrans[ProductID],463)),"")</f>
        <v/>
      </c>
      <c r="C464" t="str">
        <f>IFERROR(IF(OR(INDEX(tblTrans[ProductID],463)="",ISNUMBER(SEARCH("ProductID",INDEX(tblTrans[ProductID],463)))),"",INDEX(tblTrans[Location],463)),"")</f>
        <v/>
      </c>
      <c r="D464" t="str">
        <f>IFERROR(IF(OR(INDEX(tblTrans[ProductID],463)="",ISNUMBER(SEARCH("ProductID",INDEX(tblTrans[ProductID],463)))),"",INDEX(tblTrans[Quantity],463)),"")</f>
        <v/>
      </c>
      <c r="E464" t="str">
        <f>IFERROR(IF(OR(INDEX(tblTrans[ProductID],463)="",ISNUMBER(SEARCH("ProductID",INDEX(tblTrans[ProductID],463)))),"",INDEX(tblTrans[Type],463)),"")</f>
        <v/>
      </c>
      <c r="F464" t="str">
        <f>IFERROR(IF(OR(INDEX(tblTrans[ProductID],463)="",ISNUMBER(SEARCH("ProductID",INDEX(tblTrans[ProductID],463)))),"",_xlfn.XLOOKUP(B464,tblProducts[ProductID],tblProducts[ProductName],"")),"")</f>
        <v/>
      </c>
      <c r="G464" t="str">
        <f>IFERROR(IF(OR(INDEX(tblTrans[ProductID],463)="",ISNUMBER(SEARCH("ProductID",INDEX(tblTrans[ProductID],463)))),"",_xlfn.XLOOKUP(B464,tblProducts[ProductID],tblProducts[Category],"")),"")</f>
        <v/>
      </c>
      <c r="H464" t="str">
        <f>IFERROR(IF(OR(INDEX(tblTrans[ProductID],463)="",ISNUMBER(SEARCH("ProductID",INDEX(tblTrans[ProductID],463)))),"",_xlfn.XLOOKUP(B464,tblProducts[ProductID],tblProducts[Supplier],"")),"")</f>
        <v/>
      </c>
      <c r="I464" t="str">
        <f>IFERROR(IF(OR(INDEX(tblTrans[ProductID],463)="",ISNUMBER(SEARCH("ProductID",INDEX(tblTrans[ProductID],463)))),"",D464*_xlfn.XLOOKUP(B464,tblProducts[ProductID],tblProducts[UnitCost],0)),"")</f>
        <v/>
      </c>
    </row>
    <row r="465" spans="1:9" x14ac:dyDescent="0.3">
      <c r="A465" s="5" t="str">
        <f>IFERROR(IF(OR(INDEX(tblTrans[ProductID],464)="",ISNUMBER(SEARCH("ProductID",INDEX(tblTrans[ProductID],464)))),"",INDEX(tblTrans[Date],464)),"")</f>
        <v/>
      </c>
      <c r="B465" t="str">
        <f>IFERROR(IF(OR(INDEX(tblTrans[ProductID],464)="",ISNUMBER(SEARCH("ProductID",INDEX(tblTrans[ProductID],464)))),"",INDEX(tblTrans[ProductID],464)),"")</f>
        <v/>
      </c>
      <c r="C465" t="str">
        <f>IFERROR(IF(OR(INDEX(tblTrans[ProductID],464)="",ISNUMBER(SEARCH("ProductID",INDEX(tblTrans[ProductID],464)))),"",INDEX(tblTrans[Location],464)),"")</f>
        <v/>
      </c>
      <c r="D465" t="str">
        <f>IFERROR(IF(OR(INDEX(tblTrans[ProductID],464)="",ISNUMBER(SEARCH("ProductID",INDEX(tblTrans[ProductID],464)))),"",INDEX(tblTrans[Quantity],464)),"")</f>
        <v/>
      </c>
      <c r="E465" t="str">
        <f>IFERROR(IF(OR(INDEX(tblTrans[ProductID],464)="",ISNUMBER(SEARCH("ProductID",INDEX(tblTrans[ProductID],464)))),"",INDEX(tblTrans[Type],464)),"")</f>
        <v/>
      </c>
      <c r="F465" t="str">
        <f>IFERROR(IF(OR(INDEX(tblTrans[ProductID],464)="",ISNUMBER(SEARCH("ProductID",INDEX(tblTrans[ProductID],464)))),"",_xlfn.XLOOKUP(B465,tblProducts[ProductID],tblProducts[ProductName],"")),"")</f>
        <v/>
      </c>
      <c r="G465" t="str">
        <f>IFERROR(IF(OR(INDEX(tblTrans[ProductID],464)="",ISNUMBER(SEARCH("ProductID",INDEX(tblTrans[ProductID],464)))),"",_xlfn.XLOOKUP(B465,tblProducts[ProductID],tblProducts[Category],"")),"")</f>
        <v/>
      </c>
      <c r="H465" t="str">
        <f>IFERROR(IF(OR(INDEX(tblTrans[ProductID],464)="",ISNUMBER(SEARCH("ProductID",INDEX(tblTrans[ProductID],464)))),"",_xlfn.XLOOKUP(B465,tblProducts[ProductID],tblProducts[Supplier],"")),"")</f>
        <v/>
      </c>
      <c r="I465" t="str">
        <f>IFERROR(IF(OR(INDEX(tblTrans[ProductID],464)="",ISNUMBER(SEARCH("ProductID",INDEX(tblTrans[ProductID],464)))),"",D465*_xlfn.XLOOKUP(B465,tblProducts[ProductID],tblProducts[UnitCost],0)),"")</f>
        <v/>
      </c>
    </row>
    <row r="466" spans="1:9" x14ac:dyDescent="0.3">
      <c r="A466" s="5" t="str">
        <f>IFERROR(IF(OR(INDEX(tblTrans[ProductID],465)="",ISNUMBER(SEARCH("ProductID",INDEX(tblTrans[ProductID],465)))),"",INDEX(tblTrans[Date],465)),"")</f>
        <v/>
      </c>
      <c r="B466" t="str">
        <f>IFERROR(IF(OR(INDEX(tblTrans[ProductID],465)="",ISNUMBER(SEARCH("ProductID",INDEX(tblTrans[ProductID],465)))),"",INDEX(tblTrans[ProductID],465)),"")</f>
        <v/>
      </c>
      <c r="C466" t="str">
        <f>IFERROR(IF(OR(INDEX(tblTrans[ProductID],465)="",ISNUMBER(SEARCH("ProductID",INDEX(tblTrans[ProductID],465)))),"",INDEX(tblTrans[Location],465)),"")</f>
        <v/>
      </c>
      <c r="D466" t="str">
        <f>IFERROR(IF(OR(INDEX(tblTrans[ProductID],465)="",ISNUMBER(SEARCH("ProductID",INDEX(tblTrans[ProductID],465)))),"",INDEX(tblTrans[Quantity],465)),"")</f>
        <v/>
      </c>
      <c r="E466" t="str">
        <f>IFERROR(IF(OR(INDEX(tblTrans[ProductID],465)="",ISNUMBER(SEARCH("ProductID",INDEX(tblTrans[ProductID],465)))),"",INDEX(tblTrans[Type],465)),"")</f>
        <v/>
      </c>
      <c r="F466" t="str">
        <f>IFERROR(IF(OR(INDEX(tblTrans[ProductID],465)="",ISNUMBER(SEARCH("ProductID",INDEX(tblTrans[ProductID],465)))),"",_xlfn.XLOOKUP(B466,tblProducts[ProductID],tblProducts[ProductName],"")),"")</f>
        <v/>
      </c>
      <c r="G466" t="str">
        <f>IFERROR(IF(OR(INDEX(tblTrans[ProductID],465)="",ISNUMBER(SEARCH("ProductID",INDEX(tblTrans[ProductID],465)))),"",_xlfn.XLOOKUP(B466,tblProducts[ProductID],tblProducts[Category],"")),"")</f>
        <v/>
      </c>
      <c r="H466" t="str">
        <f>IFERROR(IF(OR(INDEX(tblTrans[ProductID],465)="",ISNUMBER(SEARCH("ProductID",INDEX(tblTrans[ProductID],465)))),"",_xlfn.XLOOKUP(B466,tblProducts[ProductID],tblProducts[Supplier],"")),"")</f>
        <v/>
      </c>
      <c r="I466" t="str">
        <f>IFERROR(IF(OR(INDEX(tblTrans[ProductID],465)="",ISNUMBER(SEARCH("ProductID",INDEX(tblTrans[ProductID],465)))),"",D466*_xlfn.XLOOKUP(B466,tblProducts[ProductID],tblProducts[UnitCost],0)),"")</f>
        <v/>
      </c>
    </row>
    <row r="467" spans="1:9" x14ac:dyDescent="0.3">
      <c r="A467" s="5" t="str">
        <f>IFERROR(IF(OR(INDEX(tblTrans[ProductID],466)="",ISNUMBER(SEARCH("ProductID",INDEX(tblTrans[ProductID],466)))),"",INDEX(tblTrans[Date],466)),"")</f>
        <v/>
      </c>
      <c r="B467" t="str">
        <f>IFERROR(IF(OR(INDEX(tblTrans[ProductID],466)="",ISNUMBER(SEARCH("ProductID",INDEX(tblTrans[ProductID],466)))),"",INDEX(tblTrans[ProductID],466)),"")</f>
        <v/>
      </c>
      <c r="C467" t="str">
        <f>IFERROR(IF(OR(INDEX(tblTrans[ProductID],466)="",ISNUMBER(SEARCH("ProductID",INDEX(tblTrans[ProductID],466)))),"",INDEX(tblTrans[Location],466)),"")</f>
        <v/>
      </c>
      <c r="D467" t="str">
        <f>IFERROR(IF(OR(INDEX(tblTrans[ProductID],466)="",ISNUMBER(SEARCH("ProductID",INDEX(tblTrans[ProductID],466)))),"",INDEX(tblTrans[Quantity],466)),"")</f>
        <v/>
      </c>
      <c r="E467" t="str">
        <f>IFERROR(IF(OR(INDEX(tblTrans[ProductID],466)="",ISNUMBER(SEARCH("ProductID",INDEX(tblTrans[ProductID],466)))),"",INDEX(tblTrans[Type],466)),"")</f>
        <v/>
      </c>
      <c r="F467" t="str">
        <f>IFERROR(IF(OR(INDEX(tblTrans[ProductID],466)="",ISNUMBER(SEARCH("ProductID",INDEX(tblTrans[ProductID],466)))),"",_xlfn.XLOOKUP(B467,tblProducts[ProductID],tblProducts[ProductName],"")),"")</f>
        <v/>
      </c>
      <c r="G467" t="str">
        <f>IFERROR(IF(OR(INDEX(tblTrans[ProductID],466)="",ISNUMBER(SEARCH("ProductID",INDEX(tblTrans[ProductID],466)))),"",_xlfn.XLOOKUP(B467,tblProducts[ProductID],tblProducts[Category],"")),"")</f>
        <v/>
      </c>
      <c r="H467" t="str">
        <f>IFERROR(IF(OR(INDEX(tblTrans[ProductID],466)="",ISNUMBER(SEARCH("ProductID",INDEX(tblTrans[ProductID],466)))),"",_xlfn.XLOOKUP(B467,tblProducts[ProductID],tblProducts[Supplier],"")),"")</f>
        <v/>
      </c>
      <c r="I467" t="str">
        <f>IFERROR(IF(OR(INDEX(tblTrans[ProductID],466)="",ISNUMBER(SEARCH("ProductID",INDEX(tblTrans[ProductID],466)))),"",D467*_xlfn.XLOOKUP(B467,tblProducts[ProductID],tblProducts[UnitCost],0)),"")</f>
        <v/>
      </c>
    </row>
    <row r="468" spans="1:9" x14ac:dyDescent="0.3">
      <c r="A468" s="5" t="str">
        <f>IFERROR(IF(OR(INDEX(tblTrans[ProductID],467)="",ISNUMBER(SEARCH("ProductID",INDEX(tblTrans[ProductID],467)))),"",INDEX(tblTrans[Date],467)),"")</f>
        <v/>
      </c>
      <c r="B468" t="str">
        <f>IFERROR(IF(OR(INDEX(tblTrans[ProductID],467)="",ISNUMBER(SEARCH("ProductID",INDEX(tblTrans[ProductID],467)))),"",INDEX(tblTrans[ProductID],467)),"")</f>
        <v/>
      </c>
      <c r="C468" t="str">
        <f>IFERROR(IF(OR(INDEX(tblTrans[ProductID],467)="",ISNUMBER(SEARCH("ProductID",INDEX(tblTrans[ProductID],467)))),"",INDEX(tblTrans[Location],467)),"")</f>
        <v/>
      </c>
      <c r="D468" t="str">
        <f>IFERROR(IF(OR(INDEX(tblTrans[ProductID],467)="",ISNUMBER(SEARCH("ProductID",INDEX(tblTrans[ProductID],467)))),"",INDEX(tblTrans[Quantity],467)),"")</f>
        <v/>
      </c>
      <c r="E468" t="str">
        <f>IFERROR(IF(OR(INDEX(tblTrans[ProductID],467)="",ISNUMBER(SEARCH("ProductID",INDEX(tblTrans[ProductID],467)))),"",INDEX(tblTrans[Type],467)),"")</f>
        <v/>
      </c>
      <c r="F468" t="str">
        <f>IFERROR(IF(OR(INDEX(tblTrans[ProductID],467)="",ISNUMBER(SEARCH("ProductID",INDEX(tblTrans[ProductID],467)))),"",_xlfn.XLOOKUP(B468,tblProducts[ProductID],tblProducts[ProductName],"")),"")</f>
        <v/>
      </c>
      <c r="G468" t="str">
        <f>IFERROR(IF(OR(INDEX(tblTrans[ProductID],467)="",ISNUMBER(SEARCH("ProductID",INDEX(tblTrans[ProductID],467)))),"",_xlfn.XLOOKUP(B468,tblProducts[ProductID],tblProducts[Category],"")),"")</f>
        <v/>
      </c>
      <c r="H468" t="str">
        <f>IFERROR(IF(OR(INDEX(tblTrans[ProductID],467)="",ISNUMBER(SEARCH("ProductID",INDEX(tblTrans[ProductID],467)))),"",_xlfn.XLOOKUP(B468,tblProducts[ProductID],tblProducts[Supplier],"")),"")</f>
        <v/>
      </c>
      <c r="I468" t="str">
        <f>IFERROR(IF(OR(INDEX(tblTrans[ProductID],467)="",ISNUMBER(SEARCH("ProductID",INDEX(tblTrans[ProductID],467)))),"",D468*_xlfn.XLOOKUP(B468,tblProducts[ProductID],tblProducts[UnitCost],0)),"")</f>
        <v/>
      </c>
    </row>
    <row r="469" spans="1:9" x14ac:dyDescent="0.3">
      <c r="A469" s="5" t="str">
        <f>IFERROR(IF(OR(INDEX(tblTrans[ProductID],468)="",ISNUMBER(SEARCH("ProductID",INDEX(tblTrans[ProductID],468)))),"",INDEX(tblTrans[Date],468)),"")</f>
        <v/>
      </c>
      <c r="B469" t="str">
        <f>IFERROR(IF(OR(INDEX(tblTrans[ProductID],468)="",ISNUMBER(SEARCH("ProductID",INDEX(tblTrans[ProductID],468)))),"",INDEX(tblTrans[ProductID],468)),"")</f>
        <v/>
      </c>
      <c r="C469" t="str">
        <f>IFERROR(IF(OR(INDEX(tblTrans[ProductID],468)="",ISNUMBER(SEARCH("ProductID",INDEX(tblTrans[ProductID],468)))),"",INDEX(tblTrans[Location],468)),"")</f>
        <v/>
      </c>
      <c r="D469" t="str">
        <f>IFERROR(IF(OR(INDEX(tblTrans[ProductID],468)="",ISNUMBER(SEARCH("ProductID",INDEX(tblTrans[ProductID],468)))),"",INDEX(tblTrans[Quantity],468)),"")</f>
        <v/>
      </c>
      <c r="E469" t="str">
        <f>IFERROR(IF(OR(INDEX(tblTrans[ProductID],468)="",ISNUMBER(SEARCH("ProductID",INDEX(tblTrans[ProductID],468)))),"",INDEX(tblTrans[Type],468)),"")</f>
        <v/>
      </c>
      <c r="F469" t="str">
        <f>IFERROR(IF(OR(INDEX(tblTrans[ProductID],468)="",ISNUMBER(SEARCH("ProductID",INDEX(tblTrans[ProductID],468)))),"",_xlfn.XLOOKUP(B469,tblProducts[ProductID],tblProducts[ProductName],"")),"")</f>
        <v/>
      </c>
      <c r="G469" t="str">
        <f>IFERROR(IF(OR(INDEX(tblTrans[ProductID],468)="",ISNUMBER(SEARCH("ProductID",INDEX(tblTrans[ProductID],468)))),"",_xlfn.XLOOKUP(B469,tblProducts[ProductID],tblProducts[Category],"")),"")</f>
        <v/>
      </c>
      <c r="H469" t="str">
        <f>IFERROR(IF(OR(INDEX(tblTrans[ProductID],468)="",ISNUMBER(SEARCH("ProductID",INDEX(tblTrans[ProductID],468)))),"",_xlfn.XLOOKUP(B469,tblProducts[ProductID],tblProducts[Supplier],"")),"")</f>
        <v/>
      </c>
      <c r="I469" t="str">
        <f>IFERROR(IF(OR(INDEX(tblTrans[ProductID],468)="",ISNUMBER(SEARCH("ProductID",INDEX(tblTrans[ProductID],468)))),"",D469*_xlfn.XLOOKUP(B469,tblProducts[ProductID],tblProducts[UnitCost],0)),"")</f>
        <v/>
      </c>
    </row>
    <row r="470" spans="1:9" x14ac:dyDescent="0.3">
      <c r="A470" s="5" t="str">
        <f>IFERROR(IF(OR(INDEX(tblTrans[ProductID],469)="",ISNUMBER(SEARCH("ProductID",INDEX(tblTrans[ProductID],469)))),"",INDEX(tblTrans[Date],469)),"")</f>
        <v/>
      </c>
      <c r="B470" t="str">
        <f>IFERROR(IF(OR(INDEX(tblTrans[ProductID],469)="",ISNUMBER(SEARCH("ProductID",INDEX(tblTrans[ProductID],469)))),"",INDEX(tblTrans[ProductID],469)),"")</f>
        <v/>
      </c>
      <c r="C470" t="str">
        <f>IFERROR(IF(OR(INDEX(tblTrans[ProductID],469)="",ISNUMBER(SEARCH("ProductID",INDEX(tblTrans[ProductID],469)))),"",INDEX(tblTrans[Location],469)),"")</f>
        <v/>
      </c>
      <c r="D470" t="str">
        <f>IFERROR(IF(OR(INDEX(tblTrans[ProductID],469)="",ISNUMBER(SEARCH("ProductID",INDEX(tblTrans[ProductID],469)))),"",INDEX(tblTrans[Quantity],469)),"")</f>
        <v/>
      </c>
      <c r="E470" t="str">
        <f>IFERROR(IF(OR(INDEX(tblTrans[ProductID],469)="",ISNUMBER(SEARCH("ProductID",INDEX(tblTrans[ProductID],469)))),"",INDEX(tblTrans[Type],469)),"")</f>
        <v/>
      </c>
      <c r="F470" t="str">
        <f>IFERROR(IF(OR(INDEX(tblTrans[ProductID],469)="",ISNUMBER(SEARCH("ProductID",INDEX(tblTrans[ProductID],469)))),"",_xlfn.XLOOKUP(B470,tblProducts[ProductID],tblProducts[ProductName],"")),"")</f>
        <v/>
      </c>
      <c r="G470" t="str">
        <f>IFERROR(IF(OR(INDEX(tblTrans[ProductID],469)="",ISNUMBER(SEARCH("ProductID",INDEX(tblTrans[ProductID],469)))),"",_xlfn.XLOOKUP(B470,tblProducts[ProductID],tblProducts[Category],"")),"")</f>
        <v/>
      </c>
      <c r="H470" t="str">
        <f>IFERROR(IF(OR(INDEX(tblTrans[ProductID],469)="",ISNUMBER(SEARCH("ProductID",INDEX(tblTrans[ProductID],469)))),"",_xlfn.XLOOKUP(B470,tblProducts[ProductID],tblProducts[Supplier],"")),"")</f>
        <v/>
      </c>
      <c r="I470" t="str">
        <f>IFERROR(IF(OR(INDEX(tblTrans[ProductID],469)="",ISNUMBER(SEARCH("ProductID",INDEX(tblTrans[ProductID],469)))),"",D470*_xlfn.XLOOKUP(B470,tblProducts[ProductID],tblProducts[UnitCost],0)),"")</f>
        <v/>
      </c>
    </row>
    <row r="471" spans="1:9" x14ac:dyDescent="0.3">
      <c r="A471" s="5" t="str">
        <f>IFERROR(IF(OR(INDEX(tblTrans[ProductID],470)="",ISNUMBER(SEARCH("ProductID",INDEX(tblTrans[ProductID],470)))),"",INDEX(tblTrans[Date],470)),"")</f>
        <v/>
      </c>
      <c r="B471" t="str">
        <f>IFERROR(IF(OR(INDEX(tblTrans[ProductID],470)="",ISNUMBER(SEARCH("ProductID",INDEX(tblTrans[ProductID],470)))),"",INDEX(tblTrans[ProductID],470)),"")</f>
        <v/>
      </c>
      <c r="C471" t="str">
        <f>IFERROR(IF(OR(INDEX(tblTrans[ProductID],470)="",ISNUMBER(SEARCH("ProductID",INDEX(tblTrans[ProductID],470)))),"",INDEX(tblTrans[Location],470)),"")</f>
        <v/>
      </c>
      <c r="D471" t="str">
        <f>IFERROR(IF(OR(INDEX(tblTrans[ProductID],470)="",ISNUMBER(SEARCH("ProductID",INDEX(tblTrans[ProductID],470)))),"",INDEX(tblTrans[Quantity],470)),"")</f>
        <v/>
      </c>
      <c r="E471" t="str">
        <f>IFERROR(IF(OR(INDEX(tblTrans[ProductID],470)="",ISNUMBER(SEARCH("ProductID",INDEX(tblTrans[ProductID],470)))),"",INDEX(tblTrans[Type],470)),"")</f>
        <v/>
      </c>
      <c r="F471" t="str">
        <f>IFERROR(IF(OR(INDEX(tblTrans[ProductID],470)="",ISNUMBER(SEARCH("ProductID",INDEX(tblTrans[ProductID],470)))),"",_xlfn.XLOOKUP(B471,tblProducts[ProductID],tblProducts[ProductName],"")),"")</f>
        <v/>
      </c>
      <c r="G471" t="str">
        <f>IFERROR(IF(OR(INDEX(tblTrans[ProductID],470)="",ISNUMBER(SEARCH("ProductID",INDEX(tblTrans[ProductID],470)))),"",_xlfn.XLOOKUP(B471,tblProducts[ProductID],tblProducts[Category],"")),"")</f>
        <v/>
      </c>
      <c r="H471" t="str">
        <f>IFERROR(IF(OR(INDEX(tblTrans[ProductID],470)="",ISNUMBER(SEARCH("ProductID",INDEX(tblTrans[ProductID],470)))),"",_xlfn.XLOOKUP(B471,tblProducts[ProductID],tblProducts[Supplier],"")),"")</f>
        <v/>
      </c>
      <c r="I471" t="str">
        <f>IFERROR(IF(OR(INDEX(tblTrans[ProductID],470)="",ISNUMBER(SEARCH("ProductID",INDEX(tblTrans[ProductID],470)))),"",D471*_xlfn.XLOOKUP(B471,tblProducts[ProductID],tblProducts[UnitCost],0)),"")</f>
        <v/>
      </c>
    </row>
    <row r="472" spans="1:9" x14ac:dyDescent="0.3">
      <c r="A472" s="5" t="str">
        <f>IFERROR(IF(OR(INDEX(tblTrans[ProductID],471)="",ISNUMBER(SEARCH("ProductID",INDEX(tblTrans[ProductID],471)))),"",INDEX(tblTrans[Date],471)),"")</f>
        <v/>
      </c>
      <c r="B472" t="str">
        <f>IFERROR(IF(OR(INDEX(tblTrans[ProductID],471)="",ISNUMBER(SEARCH("ProductID",INDEX(tblTrans[ProductID],471)))),"",INDEX(tblTrans[ProductID],471)),"")</f>
        <v/>
      </c>
      <c r="C472" t="str">
        <f>IFERROR(IF(OR(INDEX(tblTrans[ProductID],471)="",ISNUMBER(SEARCH("ProductID",INDEX(tblTrans[ProductID],471)))),"",INDEX(tblTrans[Location],471)),"")</f>
        <v/>
      </c>
      <c r="D472" t="str">
        <f>IFERROR(IF(OR(INDEX(tblTrans[ProductID],471)="",ISNUMBER(SEARCH("ProductID",INDEX(tblTrans[ProductID],471)))),"",INDEX(tblTrans[Quantity],471)),"")</f>
        <v/>
      </c>
      <c r="E472" t="str">
        <f>IFERROR(IF(OR(INDEX(tblTrans[ProductID],471)="",ISNUMBER(SEARCH("ProductID",INDEX(tblTrans[ProductID],471)))),"",INDEX(tblTrans[Type],471)),"")</f>
        <v/>
      </c>
      <c r="F472" t="str">
        <f>IFERROR(IF(OR(INDEX(tblTrans[ProductID],471)="",ISNUMBER(SEARCH("ProductID",INDEX(tblTrans[ProductID],471)))),"",_xlfn.XLOOKUP(B472,tblProducts[ProductID],tblProducts[ProductName],"")),"")</f>
        <v/>
      </c>
      <c r="G472" t="str">
        <f>IFERROR(IF(OR(INDEX(tblTrans[ProductID],471)="",ISNUMBER(SEARCH("ProductID",INDEX(tblTrans[ProductID],471)))),"",_xlfn.XLOOKUP(B472,tblProducts[ProductID],tblProducts[Category],"")),"")</f>
        <v/>
      </c>
      <c r="H472" t="str">
        <f>IFERROR(IF(OR(INDEX(tblTrans[ProductID],471)="",ISNUMBER(SEARCH("ProductID",INDEX(tblTrans[ProductID],471)))),"",_xlfn.XLOOKUP(B472,tblProducts[ProductID],tblProducts[Supplier],"")),"")</f>
        <v/>
      </c>
      <c r="I472" t="str">
        <f>IFERROR(IF(OR(INDEX(tblTrans[ProductID],471)="",ISNUMBER(SEARCH("ProductID",INDEX(tblTrans[ProductID],471)))),"",D472*_xlfn.XLOOKUP(B472,tblProducts[ProductID],tblProducts[UnitCost],0)),"")</f>
        <v/>
      </c>
    </row>
    <row r="473" spans="1:9" x14ac:dyDescent="0.3">
      <c r="A473" s="5" t="str">
        <f>IFERROR(IF(OR(INDEX(tblTrans[ProductID],472)="",ISNUMBER(SEARCH("ProductID",INDEX(tblTrans[ProductID],472)))),"",INDEX(tblTrans[Date],472)),"")</f>
        <v/>
      </c>
      <c r="B473" t="str">
        <f>IFERROR(IF(OR(INDEX(tblTrans[ProductID],472)="",ISNUMBER(SEARCH("ProductID",INDEX(tblTrans[ProductID],472)))),"",INDEX(tblTrans[ProductID],472)),"")</f>
        <v/>
      </c>
      <c r="C473" t="str">
        <f>IFERROR(IF(OR(INDEX(tblTrans[ProductID],472)="",ISNUMBER(SEARCH("ProductID",INDEX(tblTrans[ProductID],472)))),"",INDEX(tblTrans[Location],472)),"")</f>
        <v/>
      </c>
      <c r="D473" t="str">
        <f>IFERROR(IF(OR(INDEX(tblTrans[ProductID],472)="",ISNUMBER(SEARCH("ProductID",INDEX(tblTrans[ProductID],472)))),"",INDEX(tblTrans[Quantity],472)),"")</f>
        <v/>
      </c>
      <c r="E473" t="str">
        <f>IFERROR(IF(OR(INDEX(tblTrans[ProductID],472)="",ISNUMBER(SEARCH("ProductID",INDEX(tblTrans[ProductID],472)))),"",INDEX(tblTrans[Type],472)),"")</f>
        <v/>
      </c>
      <c r="F473" t="str">
        <f>IFERROR(IF(OR(INDEX(tblTrans[ProductID],472)="",ISNUMBER(SEARCH("ProductID",INDEX(tblTrans[ProductID],472)))),"",_xlfn.XLOOKUP(B473,tblProducts[ProductID],tblProducts[ProductName],"")),"")</f>
        <v/>
      </c>
      <c r="G473" t="str">
        <f>IFERROR(IF(OR(INDEX(tblTrans[ProductID],472)="",ISNUMBER(SEARCH("ProductID",INDEX(tblTrans[ProductID],472)))),"",_xlfn.XLOOKUP(B473,tblProducts[ProductID],tblProducts[Category],"")),"")</f>
        <v/>
      </c>
      <c r="H473" t="str">
        <f>IFERROR(IF(OR(INDEX(tblTrans[ProductID],472)="",ISNUMBER(SEARCH("ProductID",INDEX(tblTrans[ProductID],472)))),"",_xlfn.XLOOKUP(B473,tblProducts[ProductID],tblProducts[Supplier],"")),"")</f>
        <v/>
      </c>
      <c r="I473" t="str">
        <f>IFERROR(IF(OR(INDEX(tblTrans[ProductID],472)="",ISNUMBER(SEARCH("ProductID",INDEX(tblTrans[ProductID],472)))),"",D473*_xlfn.XLOOKUP(B473,tblProducts[ProductID],tblProducts[UnitCost],0)),"")</f>
        <v/>
      </c>
    </row>
    <row r="474" spans="1:9" x14ac:dyDescent="0.3">
      <c r="A474" s="5" t="str">
        <f>IFERROR(IF(OR(INDEX(tblTrans[ProductID],473)="",ISNUMBER(SEARCH("ProductID",INDEX(tblTrans[ProductID],473)))),"",INDEX(tblTrans[Date],473)),"")</f>
        <v/>
      </c>
      <c r="B474" t="str">
        <f>IFERROR(IF(OR(INDEX(tblTrans[ProductID],473)="",ISNUMBER(SEARCH("ProductID",INDEX(tblTrans[ProductID],473)))),"",INDEX(tblTrans[ProductID],473)),"")</f>
        <v/>
      </c>
      <c r="C474" t="str">
        <f>IFERROR(IF(OR(INDEX(tblTrans[ProductID],473)="",ISNUMBER(SEARCH("ProductID",INDEX(tblTrans[ProductID],473)))),"",INDEX(tblTrans[Location],473)),"")</f>
        <v/>
      </c>
      <c r="D474" t="str">
        <f>IFERROR(IF(OR(INDEX(tblTrans[ProductID],473)="",ISNUMBER(SEARCH("ProductID",INDEX(tblTrans[ProductID],473)))),"",INDEX(tblTrans[Quantity],473)),"")</f>
        <v/>
      </c>
      <c r="E474" t="str">
        <f>IFERROR(IF(OR(INDEX(tblTrans[ProductID],473)="",ISNUMBER(SEARCH("ProductID",INDEX(tblTrans[ProductID],473)))),"",INDEX(tblTrans[Type],473)),"")</f>
        <v/>
      </c>
      <c r="F474" t="str">
        <f>IFERROR(IF(OR(INDEX(tblTrans[ProductID],473)="",ISNUMBER(SEARCH("ProductID",INDEX(tblTrans[ProductID],473)))),"",_xlfn.XLOOKUP(B474,tblProducts[ProductID],tblProducts[ProductName],"")),"")</f>
        <v/>
      </c>
      <c r="G474" t="str">
        <f>IFERROR(IF(OR(INDEX(tblTrans[ProductID],473)="",ISNUMBER(SEARCH("ProductID",INDEX(tblTrans[ProductID],473)))),"",_xlfn.XLOOKUP(B474,tblProducts[ProductID],tblProducts[Category],"")),"")</f>
        <v/>
      </c>
      <c r="H474" t="str">
        <f>IFERROR(IF(OR(INDEX(tblTrans[ProductID],473)="",ISNUMBER(SEARCH("ProductID",INDEX(tblTrans[ProductID],473)))),"",_xlfn.XLOOKUP(B474,tblProducts[ProductID],tblProducts[Supplier],"")),"")</f>
        <v/>
      </c>
      <c r="I474" t="str">
        <f>IFERROR(IF(OR(INDEX(tblTrans[ProductID],473)="",ISNUMBER(SEARCH("ProductID",INDEX(tblTrans[ProductID],473)))),"",D474*_xlfn.XLOOKUP(B474,tblProducts[ProductID],tblProducts[UnitCost],0)),"")</f>
        <v/>
      </c>
    </row>
    <row r="475" spans="1:9" x14ac:dyDescent="0.3">
      <c r="A475" s="5" t="str">
        <f>IFERROR(IF(OR(INDEX(tblTrans[ProductID],474)="",ISNUMBER(SEARCH("ProductID",INDEX(tblTrans[ProductID],474)))),"",INDEX(tblTrans[Date],474)),"")</f>
        <v/>
      </c>
      <c r="B475" t="str">
        <f>IFERROR(IF(OR(INDEX(tblTrans[ProductID],474)="",ISNUMBER(SEARCH("ProductID",INDEX(tblTrans[ProductID],474)))),"",INDEX(tblTrans[ProductID],474)),"")</f>
        <v/>
      </c>
      <c r="C475" t="str">
        <f>IFERROR(IF(OR(INDEX(tblTrans[ProductID],474)="",ISNUMBER(SEARCH("ProductID",INDEX(tblTrans[ProductID],474)))),"",INDEX(tblTrans[Location],474)),"")</f>
        <v/>
      </c>
      <c r="D475" t="str">
        <f>IFERROR(IF(OR(INDEX(tblTrans[ProductID],474)="",ISNUMBER(SEARCH("ProductID",INDEX(tblTrans[ProductID],474)))),"",INDEX(tblTrans[Quantity],474)),"")</f>
        <v/>
      </c>
      <c r="E475" t="str">
        <f>IFERROR(IF(OR(INDEX(tblTrans[ProductID],474)="",ISNUMBER(SEARCH("ProductID",INDEX(tblTrans[ProductID],474)))),"",INDEX(tblTrans[Type],474)),"")</f>
        <v/>
      </c>
      <c r="F475" t="str">
        <f>IFERROR(IF(OR(INDEX(tblTrans[ProductID],474)="",ISNUMBER(SEARCH("ProductID",INDEX(tblTrans[ProductID],474)))),"",_xlfn.XLOOKUP(B475,tblProducts[ProductID],tblProducts[ProductName],"")),"")</f>
        <v/>
      </c>
      <c r="G475" t="str">
        <f>IFERROR(IF(OR(INDEX(tblTrans[ProductID],474)="",ISNUMBER(SEARCH("ProductID",INDEX(tblTrans[ProductID],474)))),"",_xlfn.XLOOKUP(B475,tblProducts[ProductID],tblProducts[Category],"")),"")</f>
        <v/>
      </c>
      <c r="H475" t="str">
        <f>IFERROR(IF(OR(INDEX(tblTrans[ProductID],474)="",ISNUMBER(SEARCH("ProductID",INDEX(tblTrans[ProductID],474)))),"",_xlfn.XLOOKUP(B475,tblProducts[ProductID],tblProducts[Supplier],"")),"")</f>
        <v/>
      </c>
      <c r="I475" t="str">
        <f>IFERROR(IF(OR(INDEX(tblTrans[ProductID],474)="",ISNUMBER(SEARCH("ProductID",INDEX(tblTrans[ProductID],474)))),"",D475*_xlfn.XLOOKUP(B475,tblProducts[ProductID],tblProducts[UnitCost],0)),"")</f>
        <v/>
      </c>
    </row>
    <row r="476" spans="1:9" x14ac:dyDescent="0.3">
      <c r="A476" s="5" t="str">
        <f>IFERROR(IF(OR(INDEX(tblTrans[ProductID],475)="",ISNUMBER(SEARCH("ProductID",INDEX(tblTrans[ProductID],475)))),"",INDEX(tblTrans[Date],475)),"")</f>
        <v/>
      </c>
      <c r="B476" t="str">
        <f>IFERROR(IF(OR(INDEX(tblTrans[ProductID],475)="",ISNUMBER(SEARCH("ProductID",INDEX(tblTrans[ProductID],475)))),"",INDEX(tblTrans[ProductID],475)),"")</f>
        <v/>
      </c>
      <c r="C476" t="str">
        <f>IFERROR(IF(OR(INDEX(tblTrans[ProductID],475)="",ISNUMBER(SEARCH("ProductID",INDEX(tblTrans[ProductID],475)))),"",INDEX(tblTrans[Location],475)),"")</f>
        <v/>
      </c>
      <c r="D476" t="str">
        <f>IFERROR(IF(OR(INDEX(tblTrans[ProductID],475)="",ISNUMBER(SEARCH("ProductID",INDEX(tblTrans[ProductID],475)))),"",INDEX(tblTrans[Quantity],475)),"")</f>
        <v/>
      </c>
      <c r="E476" t="str">
        <f>IFERROR(IF(OR(INDEX(tblTrans[ProductID],475)="",ISNUMBER(SEARCH("ProductID",INDEX(tblTrans[ProductID],475)))),"",INDEX(tblTrans[Type],475)),"")</f>
        <v/>
      </c>
      <c r="F476" t="str">
        <f>IFERROR(IF(OR(INDEX(tblTrans[ProductID],475)="",ISNUMBER(SEARCH("ProductID",INDEX(tblTrans[ProductID],475)))),"",_xlfn.XLOOKUP(B476,tblProducts[ProductID],tblProducts[ProductName],"")),"")</f>
        <v/>
      </c>
      <c r="G476" t="str">
        <f>IFERROR(IF(OR(INDEX(tblTrans[ProductID],475)="",ISNUMBER(SEARCH("ProductID",INDEX(tblTrans[ProductID],475)))),"",_xlfn.XLOOKUP(B476,tblProducts[ProductID],tblProducts[Category],"")),"")</f>
        <v/>
      </c>
      <c r="H476" t="str">
        <f>IFERROR(IF(OR(INDEX(tblTrans[ProductID],475)="",ISNUMBER(SEARCH("ProductID",INDEX(tblTrans[ProductID],475)))),"",_xlfn.XLOOKUP(B476,tblProducts[ProductID],tblProducts[Supplier],"")),"")</f>
        <v/>
      </c>
      <c r="I476" t="str">
        <f>IFERROR(IF(OR(INDEX(tblTrans[ProductID],475)="",ISNUMBER(SEARCH("ProductID",INDEX(tblTrans[ProductID],475)))),"",D476*_xlfn.XLOOKUP(B476,tblProducts[ProductID],tblProducts[UnitCost],0)),"")</f>
        <v/>
      </c>
    </row>
    <row r="477" spans="1:9" x14ac:dyDescent="0.3">
      <c r="A477" s="5" t="str">
        <f>IFERROR(IF(OR(INDEX(tblTrans[ProductID],476)="",ISNUMBER(SEARCH("ProductID",INDEX(tblTrans[ProductID],476)))),"",INDEX(tblTrans[Date],476)),"")</f>
        <v/>
      </c>
      <c r="B477" t="str">
        <f>IFERROR(IF(OR(INDEX(tblTrans[ProductID],476)="",ISNUMBER(SEARCH("ProductID",INDEX(tblTrans[ProductID],476)))),"",INDEX(tblTrans[ProductID],476)),"")</f>
        <v/>
      </c>
      <c r="C477" t="str">
        <f>IFERROR(IF(OR(INDEX(tblTrans[ProductID],476)="",ISNUMBER(SEARCH("ProductID",INDEX(tblTrans[ProductID],476)))),"",INDEX(tblTrans[Location],476)),"")</f>
        <v/>
      </c>
      <c r="D477" t="str">
        <f>IFERROR(IF(OR(INDEX(tblTrans[ProductID],476)="",ISNUMBER(SEARCH("ProductID",INDEX(tblTrans[ProductID],476)))),"",INDEX(tblTrans[Quantity],476)),"")</f>
        <v/>
      </c>
      <c r="E477" t="str">
        <f>IFERROR(IF(OR(INDEX(tblTrans[ProductID],476)="",ISNUMBER(SEARCH("ProductID",INDEX(tblTrans[ProductID],476)))),"",INDEX(tblTrans[Type],476)),"")</f>
        <v/>
      </c>
      <c r="F477" t="str">
        <f>IFERROR(IF(OR(INDEX(tblTrans[ProductID],476)="",ISNUMBER(SEARCH("ProductID",INDEX(tblTrans[ProductID],476)))),"",_xlfn.XLOOKUP(B477,tblProducts[ProductID],tblProducts[ProductName],"")),"")</f>
        <v/>
      </c>
      <c r="G477" t="str">
        <f>IFERROR(IF(OR(INDEX(tblTrans[ProductID],476)="",ISNUMBER(SEARCH("ProductID",INDEX(tblTrans[ProductID],476)))),"",_xlfn.XLOOKUP(B477,tblProducts[ProductID],tblProducts[Category],"")),"")</f>
        <v/>
      </c>
      <c r="H477" t="str">
        <f>IFERROR(IF(OR(INDEX(tblTrans[ProductID],476)="",ISNUMBER(SEARCH("ProductID",INDEX(tblTrans[ProductID],476)))),"",_xlfn.XLOOKUP(B477,tblProducts[ProductID],tblProducts[Supplier],"")),"")</f>
        <v/>
      </c>
      <c r="I477" t="str">
        <f>IFERROR(IF(OR(INDEX(tblTrans[ProductID],476)="",ISNUMBER(SEARCH("ProductID",INDEX(tblTrans[ProductID],476)))),"",D477*_xlfn.XLOOKUP(B477,tblProducts[ProductID],tblProducts[UnitCost],0)),"")</f>
        <v/>
      </c>
    </row>
    <row r="478" spans="1:9" x14ac:dyDescent="0.3">
      <c r="A478" s="5" t="str">
        <f>IFERROR(IF(OR(INDEX(tblTrans[ProductID],477)="",ISNUMBER(SEARCH("ProductID",INDEX(tblTrans[ProductID],477)))),"",INDEX(tblTrans[Date],477)),"")</f>
        <v/>
      </c>
      <c r="B478" t="str">
        <f>IFERROR(IF(OR(INDEX(tblTrans[ProductID],477)="",ISNUMBER(SEARCH("ProductID",INDEX(tblTrans[ProductID],477)))),"",INDEX(tblTrans[ProductID],477)),"")</f>
        <v/>
      </c>
      <c r="C478" t="str">
        <f>IFERROR(IF(OR(INDEX(tblTrans[ProductID],477)="",ISNUMBER(SEARCH("ProductID",INDEX(tblTrans[ProductID],477)))),"",INDEX(tblTrans[Location],477)),"")</f>
        <v/>
      </c>
      <c r="D478" t="str">
        <f>IFERROR(IF(OR(INDEX(tblTrans[ProductID],477)="",ISNUMBER(SEARCH("ProductID",INDEX(tblTrans[ProductID],477)))),"",INDEX(tblTrans[Quantity],477)),"")</f>
        <v/>
      </c>
      <c r="E478" t="str">
        <f>IFERROR(IF(OR(INDEX(tblTrans[ProductID],477)="",ISNUMBER(SEARCH("ProductID",INDEX(tblTrans[ProductID],477)))),"",INDEX(tblTrans[Type],477)),"")</f>
        <v/>
      </c>
      <c r="F478" t="str">
        <f>IFERROR(IF(OR(INDEX(tblTrans[ProductID],477)="",ISNUMBER(SEARCH("ProductID",INDEX(tblTrans[ProductID],477)))),"",_xlfn.XLOOKUP(B478,tblProducts[ProductID],tblProducts[ProductName],"")),"")</f>
        <v/>
      </c>
      <c r="G478" t="str">
        <f>IFERROR(IF(OR(INDEX(tblTrans[ProductID],477)="",ISNUMBER(SEARCH("ProductID",INDEX(tblTrans[ProductID],477)))),"",_xlfn.XLOOKUP(B478,tblProducts[ProductID],tblProducts[Category],"")),"")</f>
        <v/>
      </c>
      <c r="H478" t="str">
        <f>IFERROR(IF(OR(INDEX(tblTrans[ProductID],477)="",ISNUMBER(SEARCH("ProductID",INDEX(tblTrans[ProductID],477)))),"",_xlfn.XLOOKUP(B478,tblProducts[ProductID],tblProducts[Supplier],"")),"")</f>
        <v/>
      </c>
      <c r="I478" t="str">
        <f>IFERROR(IF(OR(INDEX(tblTrans[ProductID],477)="",ISNUMBER(SEARCH("ProductID",INDEX(tblTrans[ProductID],477)))),"",D478*_xlfn.XLOOKUP(B478,tblProducts[ProductID],tblProducts[UnitCost],0)),"")</f>
        <v/>
      </c>
    </row>
    <row r="479" spans="1:9" x14ac:dyDescent="0.3">
      <c r="A479" s="5" t="str">
        <f>IFERROR(IF(OR(INDEX(tblTrans[ProductID],478)="",ISNUMBER(SEARCH("ProductID",INDEX(tblTrans[ProductID],478)))),"",INDEX(tblTrans[Date],478)),"")</f>
        <v/>
      </c>
      <c r="B479" t="str">
        <f>IFERROR(IF(OR(INDEX(tblTrans[ProductID],478)="",ISNUMBER(SEARCH("ProductID",INDEX(tblTrans[ProductID],478)))),"",INDEX(tblTrans[ProductID],478)),"")</f>
        <v/>
      </c>
      <c r="C479" t="str">
        <f>IFERROR(IF(OR(INDEX(tblTrans[ProductID],478)="",ISNUMBER(SEARCH("ProductID",INDEX(tblTrans[ProductID],478)))),"",INDEX(tblTrans[Location],478)),"")</f>
        <v/>
      </c>
      <c r="D479" t="str">
        <f>IFERROR(IF(OR(INDEX(tblTrans[ProductID],478)="",ISNUMBER(SEARCH("ProductID",INDEX(tblTrans[ProductID],478)))),"",INDEX(tblTrans[Quantity],478)),"")</f>
        <v/>
      </c>
      <c r="E479" t="str">
        <f>IFERROR(IF(OR(INDEX(tblTrans[ProductID],478)="",ISNUMBER(SEARCH("ProductID",INDEX(tblTrans[ProductID],478)))),"",INDEX(tblTrans[Type],478)),"")</f>
        <v/>
      </c>
      <c r="F479" t="str">
        <f>IFERROR(IF(OR(INDEX(tblTrans[ProductID],478)="",ISNUMBER(SEARCH("ProductID",INDEX(tblTrans[ProductID],478)))),"",_xlfn.XLOOKUP(B479,tblProducts[ProductID],tblProducts[ProductName],"")),"")</f>
        <v/>
      </c>
      <c r="G479" t="str">
        <f>IFERROR(IF(OR(INDEX(tblTrans[ProductID],478)="",ISNUMBER(SEARCH("ProductID",INDEX(tblTrans[ProductID],478)))),"",_xlfn.XLOOKUP(B479,tblProducts[ProductID],tblProducts[Category],"")),"")</f>
        <v/>
      </c>
      <c r="H479" t="str">
        <f>IFERROR(IF(OR(INDEX(tblTrans[ProductID],478)="",ISNUMBER(SEARCH("ProductID",INDEX(tblTrans[ProductID],478)))),"",_xlfn.XLOOKUP(B479,tblProducts[ProductID],tblProducts[Supplier],"")),"")</f>
        <v/>
      </c>
      <c r="I479" t="str">
        <f>IFERROR(IF(OR(INDEX(tblTrans[ProductID],478)="",ISNUMBER(SEARCH("ProductID",INDEX(tblTrans[ProductID],478)))),"",D479*_xlfn.XLOOKUP(B479,tblProducts[ProductID],tblProducts[UnitCost],0)),"")</f>
        <v/>
      </c>
    </row>
    <row r="480" spans="1:9" x14ac:dyDescent="0.3">
      <c r="A480" s="5" t="str">
        <f>IFERROR(IF(OR(INDEX(tblTrans[ProductID],479)="",ISNUMBER(SEARCH("ProductID",INDEX(tblTrans[ProductID],479)))),"",INDEX(tblTrans[Date],479)),"")</f>
        <v/>
      </c>
      <c r="B480" t="str">
        <f>IFERROR(IF(OR(INDEX(tblTrans[ProductID],479)="",ISNUMBER(SEARCH("ProductID",INDEX(tblTrans[ProductID],479)))),"",INDEX(tblTrans[ProductID],479)),"")</f>
        <v/>
      </c>
      <c r="C480" t="str">
        <f>IFERROR(IF(OR(INDEX(tblTrans[ProductID],479)="",ISNUMBER(SEARCH("ProductID",INDEX(tblTrans[ProductID],479)))),"",INDEX(tblTrans[Location],479)),"")</f>
        <v/>
      </c>
      <c r="D480" t="str">
        <f>IFERROR(IF(OR(INDEX(tblTrans[ProductID],479)="",ISNUMBER(SEARCH("ProductID",INDEX(tblTrans[ProductID],479)))),"",INDEX(tblTrans[Quantity],479)),"")</f>
        <v/>
      </c>
      <c r="E480" t="str">
        <f>IFERROR(IF(OR(INDEX(tblTrans[ProductID],479)="",ISNUMBER(SEARCH("ProductID",INDEX(tblTrans[ProductID],479)))),"",INDEX(tblTrans[Type],479)),"")</f>
        <v/>
      </c>
      <c r="F480" t="str">
        <f>IFERROR(IF(OR(INDEX(tblTrans[ProductID],479)="",ISNUMBER(SEARCH("ProductID",INDEX(tblTrans[ProductID],479)))),"",_xlfn.XLOOKUP(B480,tblProducts[ProductID],tblProducts[ProductName],"")),"")</f>
        <v/>
      </c>
      <c r="G480" t="str">
        <f>IFERROR(IF(OR(INDEX(tblTrans[ProductID],479)="",ISNUMBER(SEARCH("ProductID",INDEX(tblTrans[ProductID],479)))),"",_xlfn.XLOOKUP(B480,tblProducts[ProductID],tblProducts[Category],"")),"")</f>
        <v/>
      </c>
      <c r="H480" t="str">
        <f>IFERROR(IF(OR(INDEX(tblTrans[ProductID],479)="",ISNUMBER(SEARCH("ProductID",INDEX(tblTrans[ProductID],479)))),"",_xlfn.XLOOKUP(B480,tblProducts[ProductID],tblProducts[Supplier],"")),"")</f>
        <v/>
      </c>
      <c r="I480" t="str">
        <f>IFERROR(IF(OR(INDEX(tblTrans[ProductID],479)="",ISNUMBER(SEARCH("ProductID",INDEX(tblTrans[ProductID],479)))),"",D480*_xlfn.XLOOKUP(B480,tblProducts[ProductID],tblProducts[UnitCost],0)),"")</f>
        <v/>
      </c>
    </row>
    <row r="481" spans="1:9" x14ac:dyDescent="0.3">
      <c r="A481" s="5" t="str">
        <f>IFERROR(IF(OR(INDEX(tblTrans[ProductID],480)="",ISNUMBER(SEARCH("ProductID",INDEX(tblTrans[ProductID],480)))),"",INDEX(tblTrans[Date],480)),"")</f>
        <v/>
      </c>
      <c r="B481" t="str">
        <f>IFERROR(IF(OR(INDEX(tblTrans[ProductID],480)="",ISNUMBER(SEARCH("ProductID",INDEX(tblTrans[ProductID],480)))),"",INDEX(tblTrans[ProductID],480)),"")</f>
        <v/>
      </c>
      <c r="C481" t="str">
        <f>IFERROR(IF(OR(INDEX(tblTrans[ProductID],480)="",ISNUMBER(SEARCH("ProductID",INDEX(tblTrans[ProductID],480)))),"",INDEX(tblTrans[Location],480)),"")</f>
        <v/>
      </c>
      <c r="D481" t="str">
        <f>IFERROR(IF(OR(INDEX(tblTrans[ProductID],480)="",ISNUMBER(SEARCH("ProductID",INDEX(tblTrans[ProductID],480)))),"",INDEX(tblTrans[Quantity],480)),"")</f>
        <v/>
      </c>
      <c r="E481" t="str">
        <f>IFERROR(IF(OR(INDEX(tblTrans[ProductID],480)="",ISNUMBER(SEARCH("ProductID",INDEX(tblTrans[ProductID],480)))),"",INDEX(tblTrans[Type],480)),"")</f>
        <v/>
      </c>
      <c r="F481" t="str">
        <f>IFERROR(IF(OR(INDEX(tblTrans[ProductID],480)="",ISNUMBER(SEARCH("ProductID",INDEX(tblTrans[ProductID],480)))),"",_xlfn.XLOOKUP(B481,tblProducts[ProductID],tblProducts[ProductName],"")),"")</f>
        <v/>
      </c>
      <c r="G481" t="str">
        <f>IFERROR(IF(OR(INDEX(tblTrans[ProductID],480)="",ISNUMBER(SEARCH("ProductID",INDEX(tblTrans[ProductID],480)))),"",_xlfn.XLOOKUP(B481,tblProducts[ProductID],tblProducts[Category],"")),"")</f>
        <v/>
      </c>
      <c r="H481" t="str">
        <f>IFERROR(IF(OR(INDEX(tblTrans[ProductID],480)="",ISNUMBER(SEARCH("ProductID",INDEX(tblTrans[ProductID],480)))),"",_xlfn.XLOOKUP(B481,tblProducts[ProductID],tblProducts[Supplier],"")),"")</f>
        <v/>
      </c>
      <c r="I481" t="str">
        <f>IFERROR(IF(OR(INDEX(tblTrans[ProductID],480)="",ISNUMBER(SEARCH("ProductID",INDEX(tblTrans[ProductID],480)))),"",D481*_xlfn.XLOOKUP(B481,tblProducts[ProductID],tblProducts[UnitCost],0)),"")</f>
        <v/>
      </c>
    </row>
    <row r="482" spans="1:9" x14ac:dyDescent="0.3">
      <c r="A482" s="5" t="str">
        <f>IFERROR(IF(OR(INDEX(tblTrans[ProductID],481)="",ISNUMBER(SEARCH("ProductID",INDEX(tblTrans[ProductID],481)))),"",INDEX(tblTrans[Date],481)),"")</f>
        <v/>
      </c>
      <c r="B482" t="str">
        <f>IFERROR(IF(OR(INDEX(tblTrans[ProductID],481)="",ISNUMBER(SEARCH("ProductID",INDEX(tblTrans[ProductID],481)))),"",INDEX(tblTrans[ProductID],481)),"")</f>
        <v/>
      </c>
      <c r="C482" t="str">
        <f>IFERROR(IF(OR(INDEX(tblTrans[ProductID],481)="",ISNUMBER(SEARCH("ProductID",INDEX(tblTrans[ProductID],481)))),"",INDEX(tblTrans[Location],481)),"")</f>
        <v/>
      </c>
      <c r="D482" t="str">
        <f>IFERROR(IF(OR(INDEX(tblTrans[ProductID],481)="",ISNUMBER(SEARCH("ProductID",INDEX(tblTrans[ProductID],481)))),"",INDEX(tblTrans[Quantity],481)),"")</f>
        <v/>
      </c>
      <c r="E482" t="str">
        <f>IFERROR(IF(OR(INDEX(tblTrans[ProductID],481)="",ISNUMBER(SEARCH("ProductID",INDEX(tblTrans[ProductID],481)))),"",INDEX(tblTrans[Type],481)),"")</f>
        <v/>
      </c>
      <c r="F482" t="str">
        <f>IFERROR(IF(OR(INDEX(tblTrans[ProductID],481)="",ISNUMBER(SEARCH("ProductID",INDEX(tblTrans[ProductID],481)))),"",_xlfn.XLOOKUP(B482,tblProducts[ProductID],tblProducts[ProductName],"")),"")</f>
        <v/>
      </c>
      <c r="G482" t="str">
        <f>IFERROR(IF(OR(INDEX(tblTrans[ProductID],481)="",ISNUMBER(SEARCH("ProductID",INDEX(tblTrans[ProductID],481)))),"",_xlfn.XLOOKUP(B482,tblProducts[ProductID],tblProducts[Category],"")),"")</f>
        <v/>
      </c>
      <c r="H482" t="str">
        <f>IFERROR(IF(OR(INDEX(tblTrans[ProductID],481)="",ISNUMBER(SEARCH("ProductID",INDEX(tblTrans[ProductID],481)))),"",_xlfn.XLOOKUP(B482,tblProducts[ProductID],tblProducts[Supplier],"")),"")</f>
        <v/>
      </c>
      <c r="I482" t="str">
        <f>IFERROR(IF(OR(INDEX(tblTrans[ProductID],481)="",ISNUMBER(SEARCH("ProductID",INDEX(tblTrans[ProductID],481)))),"",D482*_xlfn.XLOOKUP(B482,tblProducts[ProductID],tblProducts[UnitCost],0)),"")</f>
        <v/>
      </c>
    </row>
    <row r="483" spans="1:9" x14ac:dyDescent="0.3">
      <c r="A483" s="5" t="str">
        <f>IFERROR(IF(OR(INDEX(tblTrans[ProductID],482)="",ISNUMBER(SEARCH("ProductID",INDEX(tblTrans[ProductID],482)))),"",INDEX(tblTrans[Date],482)),"")</f>
        <v/>
      </c>
      <c r="B483" t="str">
        <f>IFERROR(IF(OR(INDEX(tblTrans[ProductID],482)="",ISNUMBER(SEARCH("ProductID",INDEX(tblTrans[ProductID],482)))),"",INDEX(tblTrans[ProductID],482)),"")</f>
        <v/>
      </c>
      <c r="C483" t="str">
        <f>IFERROR(IF(OR(INDEX(tblTrans[ProductID],482)="",ISNUMBER(SEARCH("ProductID",INDEX(tblTrans[ProductID],482)))),"",INDEX(tblTrans[Location],482)),"")</f>
        <v/>
      </c>
      <c r="D483" t="str">
        <f>IFERROR(IF(OR(INDEX(tblTrans[ProductID],482)="",ISNUMBER(SEARCH("ProductID",INDEX(tblTrans[ProductID],482)))),"",INDEX(tblTrans[Quantity],482)),"")</f>
        <v/>
      </c>
      <c r="E483" t="str">
        <f>IFERROR(IF(OR(INDEX(tblTrans[ProductID],482)="",ISNUMBER(SEARCH("ProductID",INDEX(tblTrans[ProductID],482)))),"",INDEX(tblTrans[Type],482)),"")</f>
        <v/>
      </c>
      <c r="F483" t="str">
        <f>IFERROR(IF(OR(INDEX(tblTrans[ProductID],482)="",ISNUMBER(SEARCH("ProductID",INDEX(tblTrans[ProductID],482)))),"",_xlfn.XLOOKUP(B483,tblProducts[ProductID],tblProducts[ProductName],"")),"")</f>
        <v/>
      </c>
      <c r="G483" t="str">
        <f>IFERROR(IF(OR(INDEX(tblTrans[ProductID],482)="",ISNUMBER(SEARCH("ProductID",INDEX(tblTrans[ProductID],482)))),"",_xlfn.XLOOKUP(B483,tblProducts[ProductID],tblProducts[Category],"")),"")</f>
        <v/>
      </c>
      <c r="H483" t="str">
        <f>IFERROR(IF(OR(INDEX(tblTrans[ProductID],482)="",ISNUMBER(SEARCH("ProductID",INDEX(tblTrans[ProductID],482)))),"",_xlfn.XLOOKUP(B483,tblProducts[ProductID],tblProducts[Supplier],"")),"")</f>
        <v/>
      </c>
      <c r="I483" t="str">
        <f>IFERROR(IF(OR(INDEX(tblTrans[ProductID],482)="",ISNUMBER(SEARCH("ProductID",INDEX(tblTrans[ProductID],482)))),"",D483*_xlfn.XLOOKUP(B483,tblProducts[ProductID],tblProducts[UnitCost],0)),"")</f>
        <v/>
      </c>
    </row>
    <row r="484" spans="1:9" x14ac:dyDescent="0.3">
      <c r="A484" s="5" t="str">
        <f>IFERROR(IF(OR(INDEX(tblTrans[ProductID],483)="",ISNUMBER(SEARCH("ProductID",INDEX(tblTrans[ProductID],483)))),"",INDEX(tblTrans[Date],483)),"")</f>
        <v/>
      </c>
      <c r="B484" t="str">
        <f>IFERROR(IF(OR(INDEX(tblTrans[ProductID],483)="",ISNUMBER(SEARCH("ProductID",INDEX(tblTrans[ProductID],483)))),"",INDEX(tblTrans[ProductID],483)),"")</f>
        <v/>
      </c>
      <c r="C484" t="str">
        <f>IFERROR(IF(OR(INDEX(tblTrans[ProductID],483)="",ISNUMBER(SEARCH("ProductID",INDEX(tblTrans[ProductID],483)))),"",INDEX(tblTrans[Location],483)),"")</f>
        <v/>
      </c>
      <c r="D484" t="str">
        <f>IFERROR(IF(OR(INDEX(tblTrans[ProductID],483)="",ISNUMBER(SEARCH("ProductID",INDEX(tblTrans[ProductID],483)))),"",INDEX(tblTrans[Quantity],483)),"")</f>
        <v/>
      </c>
      <c r="E484" t="str">
        <f>IFERROR(IF(OR(INDEX(tblTrans[ProductID],483)="",ISNUMBER(SEARCH("ProductID",INDEX(tblTrans[ProductID],483)))),"",INDEX(tblTrans[Type],483)),"")</f>
        <v/>
      </c>
      <c r="F484" t="str">
        <f>IFERROR(IF(OR(INDEX(tblTrans[ProductID],483)="",ISNUMBER(SEARCH("ProductID",INDEX(tblTrans[ProductID],483)))),"",_xlfn.XLOOKUP(B484,tblProducts[ProductID],tblProducts[ProductName],"")),"")</f>
        <v/>
      </c>
      <c r="G484" t="str">
        <f>IFERROR(IF(OR(INDEX(tblTrans[ProductID],483)="",ISNUMBER(SEARCH("ProductID",INDEX(tblTrans[ProductID],483)))),"",_xlfn.XLOOKUP(B484,tblProducts[ProductID],tblProducts[Category],"")),"")</f>
        <v/>
      </c>
      <c r="H484" t="str">
        <f>IFERROR(IF(OR(INDEX(tblTrans[ProductID],483)="",ISNUMBER(SEARCH("ProductID",INDEX(tblTrans[ProductID],483)))),"",_xlfn.XLOOKUP(B484,tblProducts[ProductID],tblProducts[Supplier],"")),"")</f>
        <v/>
      </c>
      <c r="I484" t="str">
        <f>IFERROR(IF(OR(INDEX(tblTrans[ProductID],483)="",ISNUMBER(SEARCH("ProductID",INDEX(tblTrans[ProductID],483)))),"",D484*_xlfn.XLOOKUP(B484,tblProducts[ProductID],tblProducts[UnitCost],0)),"")</f>
        <v/>
      </c>
    </row>
    <row r="485" spans="1:9" x14ac:dyDescent="0.3">
      <c r="A485" s="5" t="str">
        <f>IFERROR(IF(OR(INDEX(tblTrans[ProductID],484)="",ISNUMBER(SEARCH("ProductID",INDEX(tblTrans[ProductID],484)))),"",INDEX(tblTrans[Date],484)),"")</f>
        <v/>
      </c>
      <c r="B485" t="str">
        <f>IFERROR(IF(OR(INDEX(tblTrans[ProductID],484)="",ISNUMBER(SEARCH("ProductID",INDEX(tblTrans[ProductID],484)))),"",INDEX(tblTrans[ProductID],484)),"")</f>
        <v/>
      </c>
      <c r="C485" t="str">
        <f>IFERROR(IF(OR(INDEX(tblTrans[ProductID],484)="",ISNUMBER(SEARCH("ProductID",INDEX(tblTrans[ProductID],484)))),"",INDEX(tblTrans[Location],484)),"")</f>
        <v/>
      </c>
      <c r="D485" t="str">
        <f>IFERROR(IF(OR(INDEX(tblTrans[ProductID],484)="",ISNUMBER(SEARCH("ProductID",INDEX(tblTrans[ProductID],484)))),"",INDEX(tblTrans[Quantity],484)),"")</f>
        <v/>
      </c>
      <c r="E485" t="str">
        <f>IFERROR(IF(OR(INDEX(tblTrans[ProductID],484)="",ISNUMBER(SEARCH("ProductID",INDEX(tblTrans[ProductID],484)))),"",INDEX(tblTrans[Type],484)),"")</f>
        <v/>
      </c>
      <c r="F485" t="str">
        <f>IFERROR(IF(OR(INDEX(tblTrans[ProductID],484)="",ISNUMBER(SEARCH("ProductID",INDEX(tblTrans[ProductID],484)))),"",_xlfn.XLOOKUP(B485,tblProducts[ProductID],tblProducts[ProductName],"")),"")</f>
        <v/>
      </c>
      <c r="G485" t="str">
        <f>IFERROR(IF(OR(INDEX(tblTrans[ProductID],484)="",ISNUMBER(SEARCH("ProductID",INDEX(tblTrans[ProductID],484)))),"",_xlfn.XLOOKUP(B485,tblProducts[ProductID],tblProducts[Category],"")),"")</f>
        <v/>
      </c>
      <c r="H485" t="str">
        <f>IFERROR(IF(OR(INDEX(tblTrans[ProductID],484)="",ISNUMBER(SEARCH("ProductID",INDEX(tblTrans[ProductID],484)))),"",_xlfn.XLOOKUP(B485,tblProducts[ProductID],tblProducts[Supplier],"")),"")</f>
        <v/>
      </c>
      <c r="I485" t="str">
        <f>IFERROR(IF(OR(INDEX(tblTrans[ProductID],484)="",ISNUMBER(SEARCH("ProductID",INDEX(tblTrans[ProductID],484)))),"",D485*_xlfn.XLOOKUP(B485,tblProducts[ProductID],tblProducts[UnitCost],0)),"")</f>
        <v/>
      </c>
    </row>
    <row r="486" spans="1:9" x14ac:dyDescent="0.3">
      <c r="A486" s="5" t="str">
        <f>IFERROR(IF(OR(INDEX(tblTrans[ProductID],485)="",ISNUMBER(SEARCH("ProductID",INDEX(tblTrans[ProductID],485)))),"",INDEX(tblTrans[Date],485)),"")</f>
        <v/>
      </c>
      <c r="B486" t="str">
        <f>IFERROR(IF(OR(INDEX(tblTrans[ProductID],485)="",ISNUMBER(SEARCH("ProductID",INDEX(tblTrans[ProductID],485)))),"",INDEX(tblTrans[ProductID],485)),"")</f>
        <v/>
      </c>
      <c r="C486" t="str">
        <f>IFERROR(IF(OR(INDEX(tblTrans[ProductID],485)="",ISNUMBER(SEARCH("ProductID",INDEX(tblTrans[ProductID],485)))),"",INDEX(tblTrans[Location],485)),"")</f>
        <v/>
      </c>
      <c r="D486" t="str">
        <f>IFERROR(IF(OR(INDEX(tblTrans[ProductID],485)="",ISNUMBER(SEARCH("ProductID",INDEX(tblTrans[ProductID],485)))),"",INDEX(tblTrans[Quantity],485)),"")</f>
        <v/>
      </c>
      <c r="E486" t="str">
        <f>IFERROR(IF(OR(INDEX(tblTrans[ProductID],485)="",ISNUMBER(SEARCH("ProductID",INDEX(tblTrans[ProductID],485)))),"",INDEX(tblTrans[Type],485)),"")</f>
        <v/>
      </c>
      <c r="F486" t="str">
        <f>IFERROR(IF(OR(INDEX(tblTrans[ProductID],485)="",ISNUMBER(SEARCH("ProductID",INDEX(tblTrans[ProductID],485)))),"",_xlfn.XLOOKUP(B486,tblProducts[ProductID],tblProducts[ProductName],"")),"")</f>
        <v/>
      </c>
      <c r="G486" t="str">
        <f>IFERROR(IF(OR(INDEX(tblTrans[ProductID],485)="",ISNUMBER(SEARCH("ProductID",INDEX(tblTrans[ProductID],485)))),"",_xlfn.XLOOKUP(B486,tblProducts[ProductID],tblProducts[Category],"")),"")</f>
        <v/>
      </c>
      <c r="H486" t="str">
        <f>IFERROR(IF(OR(INDEX(tblTrans[ProductID],485)="",ISNUMBER(SEARCH("ProductID",INDEX(tblTrans[ProductID],485)))),"",_xlfn.XLOOKUP(B486,tblProducts[ProductID],tblProducts[Supplier],"")),"")</f>
        <v/>
      </c>
      <c r="I486" t="str">
        <f>IFERROR(IF(OR(INDEX(tblTrans[ProductID],485)="",ISNUMBER(SEARCH("ProductID",INDEX(tblTrans[ProductID],485)))),"",D486*_xlfn.XLOOKUP(B486,tblProducts[ProductID],tblProducts[UnitCost],0)),"")</f>
        <v/>
      </c>
    </row>
    <row r="487" spans="1:9" x14ac:dyDescent="0.3">
      <c r="A487" s="5" t="str">
        <f>IFERROR(IF(OR(INDEX(tblTrans[ProductID],486)="",ISNUMBER(SEARCH("ProductID",INDEX(tblTrans[ProductID],486)))),"",INDEX(tblTrans[Date],486)),"")</f>
        <v/>
      </c>
      <c r="B487" t="str">
        <f>IFERROR(IF(OR(INDEX(tblTrans[ProductID],486)="",ISNUMBER(SEARCH("ProductID",INDEX(tblTrans[ProductID],486)))),"",INDEX(tblTrans[ProductID],486)),"")</f>
        <v/>
      </c>
      <c r="C487" t="str">
        <f>IFERROR(IF(OR(INDEX(tblTrans[ProductID],486)="",ISNUMBER(SEARCH("ProductID",INDEX(tblTrans[ProductID],486)))),"",INDEX(tblTrans[Location],486)),"")</f>
        <v/>
      </c>
      <c r="D487" t="str">
        <f>IFERROR(IF(OR(INDEX(tblTrans[ProductID],486)="",ISNUMBER(SEARCH("ProductID",INDEX(tblTrans[ProductID],486)))),"",INDEX(tblTrans[Quantity],486)),"")</f>
        <v/>
      </c>
      <c r="E487" t="str">
        <f>IFERROR(IF(OR(INDEX(tblTrans[ProductID],486)="",ISNUMBER(SEARCH("ProductID",INDEX(tblTrans[ProductID],486)))),"",INDEX(tblTrans[Type],486)),"")</f>
        <v/>
      </c>
      <c r="F487" t="str">
        <f>IFERROR(IF(OR(INDEX(tblTrans[ProductID],486)="",ISNUMBER(SEARCH("ProductID",INDEX(tblTrans[ProductID],486)))),"",_xlfn.XLOOKUP(B487,tblProducts[ProductID],tblProducts[ProductName],"")),"")</f>
        <v/>
      </c>
      <c r="G487" t="str">
        <f>IFERROR(IF(OR(INDEX(tblTrans[ProductID],486)="",ISNUMBER(SEARCH("ProductID",INDEX(tblTrans[ProductID],486)))),"",_xlfn.XLOOKUP(B487,tblProducts[ProductID],tblProducts[Category],"")),"")</f>
        <v/>
      </c>
      <c r="H487" t="str">
        <f>IFERROR(IF(OR(INDEX(tblTrans[ProductID],486)="",ISNUMBER(SEARCH("ProductID",INDEX(tblTrans[ProductID],486)))),"",_xlfn.XLOOKUP(B487,tblProducts[ProductID],tblProducts[Supplier],"")),"")</f>
        <v/>
      </c>
      <c r="I487" t="str">
        <f>IFERROR(IF(OR(INDEX(tblTrans[ProductID],486)="",ISNUMBER(SEARCH("ProductID",INDEX(tblTrans[ProductID],486)))),"",D487*_xlfn.XLOOKUP(B487,tblProducts[ProductID],tblProducts[UnitCost],0)),"")</f>
        <v/>
      </c>
    </row>
    <row r="488" spans="1:9" x14ac:dyDescent="0.3">
      <c r="A488" s="5" t="str">
        <f>IFERROR(IF(OR(INDEX(tblTrans[ProductID],487)="",ISNUMBER(SEARCH("ProductID",INDEX(tblTrans[ProductID],487)))),"",INDEX(tblTrans[Date],487)),"")</f>
        <v/>
      </c>
      <c r="B488" t="str">
        <f>IFERROR(IF(OR(INDEX(tblTrans[ProductID],487)="",ISNUMBER(SEARCH("ProductID",INDEX(tblTrans[ProductID],487)))),"",INDEX(tblTrans[ProductID],487)),"")</f>
        <v/>
      </c>
      <c r="C488" t="str">
        <f>IFERROR(IF(OR(INDEX(tblTrans[ProductID],487)="",ISNUMBER(SEARCH("ProductID",INDEX(tblTrans[ProductID],487)))),"",INDEX(tblTrans[Location],487)),"")</f>
        <v/>
      </c>
      <c r="D488" t="str">
        <f>IFERROR(IF(OR(INDEX(tblTrans[ProductID],487)="",ISNUMBER(SEARCH("ProductID",INDEX(tblTrans[ProductID],487)))),"",INDEX(tblTrans[Quantity],487)),"")</f>
        <v/>
      </c>
      <c r="E488" t="str">
        <f>IFERROR(IF(OR(INDEX(tblTrans[ProductID],487)="",ISNUMBER(SEARCH("ProductID",INDEX(tblTrans[ProductID],487)))),"",INDEX(tblTrans[Type],487)),"")</f>
        <v/>
      </c>
      <c r="F488" t="str">
        <f>IFERROR(IF(OR(INDEX(tblTrans[ProductID],487)="",ISNUMBER(SEARCH("ProductID",INDEX(tblTrans[ProductID],487)))),"",_xlfn.XLOOKUP(B488,tblProducts[ProductID],tblProducts[ProductName],"")),"")</f>
        <v/>
      </c>
      <c r="G488" t="str">
        <f>IFERROR(IF(OR(INDEX(tblTrans[ProductID],487)="",ISNUMBER(SEARCH("ProductID",INDEX(tblTrans[ProductID],487)))),"",_xlfn.XLOOKUP(B488,tblProducts[ProductID],tblProducts[Category],"")),"")</f>
        <v/>
      </c>
      <c r="H488" t="str">
        <f>IFERROR(IF(OR(INDEX(tblTrans[ProductID],487)="",ISNUMBER(SEARCH("ProductID",INDEX(tblTrans[ProductID],487)))),"",_xlfn.XLOOKUP(B488,tblProducts[ProductID],tblProducts[Supplier],"")),"")</f>
        <v/>
      </c>
      <c r="I488" t="str">
        <f>IFERROR(IF(OR(INDEX(tblTrans[ProductID],487)="",ISNUMBER(SEARCH("ProductID",INDEX(tblTrans[ProductID],487)))),"",D488*_xlfn.XLOOKUP(B488,tblProducts[ProductID],tblProducts[UnitCost],0)),"")</f>
        <v/>
      </c>
    </row>
    <row r="489" spans="1:9" x14ac:dyDescent="0.3">
      <c r="A489" s="5" t="str">
        <f>IFERROR(IF(OR(INDEX(tblTrans[ProductID],488)="",ISNUMBER(SEARCH("ProductID",INDEX(tblTrans[ProductID],488)))),"",INDEX(tblTrans[Date],488)),"")</f>
        <v/>
      </c>
      <c r="B489" t="str">
        <f>IFERROR(IF(OR(INDEX(tblTrans[ProductID],488)="",ISNUMBER(SEARCH("ProductID",INDEX(tblTrans[ProductID],488)))),"",INDEX(tblTrans[ProductID],488)),"")</f>
        <v/>
      </c>
      <c r="C489" t="str">
        <f>IFERROR(IF(OR(INDEX(tblTrans[ProductID],488)="",ISNUMBER(SEARCH("ProductID",INDEX(tblTrans[ProductID],488)))),"",INDEX(tblTrans[Location],488)),"")</f>
        <v/>
      </c>
      <c r="D489" t="str">
        <f>IFERROR(IF(OR(INDEX(tblTrans[ProductID],488)="",ISNUMBER(SEARCH("ProductID",INDEX(tblTrans[ProductID],488)))),"",INDEX(tblTrans[Quantity],488)),"")</f>
        <v/>
      </c>
      <c r="E489" t="str">
        <f>IFERROR(IF(OR(INDEX(tblTrans[ProductID],488)="",ISNUMBER(SEARCH("ProductID",INDEX(tblTrans[ProductID],488)))),"",INDEX(tblTrans[Type],488)),"")</f>
        <v/>
      </c>
      <c r="F489" t="str">
        <f>IFERROR(IF(OR(INDEX(tblTrans[ProductID],488)="",ISNUMBER(SEARCH("ProductID",INDEX(tblTrans[ProductID],488)))),"",_xlfn.XLOOKUP(B489,tblProducts[ProductID],tblProducts[ProductName],"")),"")</f>
        <v/>
      </c>
      <c r="G489" t="str">
        <f>IFERROR(IF(OR(INDEX(tblTrans[ProductID],488)="",ISNUMBER(SEARCH("ProductID",INDEX(tblTrans[ProductID],488)))),"",_xlfn.XLOOKUP(B489,tblProducts[ProductID],tblProducts[Category],"")),"")</f>
        <v/>
      </c>
      <c r="H489" t="str">
        <f>IFERROR(IF(OR(INDEX(tblTrans[ProductID],488)="",ISNUMBER(SEARCH("ProductID",INDEX(tblTrans[ProductID],488)))),"",_xlfn.XLOOKUP(B489,tblProducts[ProductID],tblProducts[Supplier],"")),"")</f>
        <v/>
      </c>
      <c r="I489" t="str">
        <f>IFERROR(IF(OR(INDEX(tblTrans[ProductID],488)="",ISNUMBER(SEARCH("ProductID",INDEX(tblTrans[ProductID],488)))),"",D489*_xlfn.XLOOKUP(B489,tblProducts[ProductID],tblProducts[UnitCost],0)),"")</f>
        <v/>
      </c>
    </row>
    <row r="490" spans="1:9" x14ac:dyDescent="0.3">
      <c r="A490" s="5" t="str">
        <f>IFERROR(IF(OR(INDEX(tblTrans[ProductID],489)="",ISNUMBER(SEARCH("ProductID",INDEX(tblTrans[ProductID],489)))),"",INDEX(tblTrans[Date],489)),"")</f>
        <v/>
      </c>
      <c r="B490" t="str">
        <f>IFERROR(IF(OR(INDEX(tblTrans[ProductID],489)="",ISNUMBER(SEARCH("ProductID",INDEX(tblTrans[ProductID],489)))),"",INDEX(tblTrans[ProductID],489)),"")</f>
        <v/>
      </c>
      <c r="C490" t="str">
        <f>IFERROR(IF(OR(INDEX(tblTrans[ProductID],489)="",ISNUMBER(SEARCH("ProductID",INDEX(tblTrans[ProductID],489)))),"",INDEX(tblTrans[Location],489)),"")</f>
        <v/>
      </c>
      <c r="D490" t="str">
        <f>IFERROR(IF(OR(INDEX(tblTrans[ProductID],489)="",ISNUMBER(SEARCH("ProductID",INDEX(tblTrans[ProductID],489)))),"",INDEX(tblTrans[Quantity],489)),"")</f>
        <v/>
      </c>
      <c r="E490" t="str">
        <f>IFERROR(IF(OR(INDEX(tblTrans[ProductID],489)="",ISNUMBER(SEARCH("ProductID",INDEX(tblTrans[ProductID],489)))),"",INDEX(tblTrans[Type],489)),"")</f>
        <v/>
      </c>
      <c r="F490" t="str">
        <f>IFERROR(IF(OR(INDEX(tblTrans[ProductID],489)="",ISNUMBER(SEARCH("ProductID",INDEX(tblTrans[ProductID],489)))),"",_xlfn.XLOOKUP(B490,tblProducts[ProductID],tblProducts[ProductName],"")),"")</f>
        <v/>
      </c>
      <c r="G490" t="str">
        <f>IFERROR(IF(OR(INDEX(tblTrans[ProductID],489)="",ISNUMBER(SEARCH("ProductID",INDEX(tblTrans[ProductID],489)))),"",_xlfn.XLOOKUP(B490,tblProducts[ProductID],tblProducts[Category],"")),"")</f>
        <v/>
      </c>
      <c r="H490" t="str">
        <f>IFERROR(IF(OR(INDEX(tblTrans[ProductID],489)="",ISNUMBER(SEARCH("ProductID",INDEX(tblTrans[ProductID],489)))),"",_xlfn.XLOOKUP(B490,tblProducts[ProductID],tblProducts[Supplier],"")),"")</f>
        <v/>
      </c>
      <c r="I490" t="str">
        <f>IFERROR(IF(OR(INDEX(tblTrans[ProductID],489)="",ISNUMBER(SEARCH("ProductID",INDEX(tblTrans[ProductID],489)))),"",D490*_xlfn.XLOOKUP(B490,tblProducts[ProductID],tblProducts[UnitCost],0)),"")</f>
        <v/>
      </c>
    </row>
    <row r="491" spans="1:9" x14ac:dyDescent="0.3">
      <c r="A491" s="5" t="str">
        <f>IFERROR(IF(OR(INDEX(tblTrans[ProductID],490)="",ISNUMBER(SEARCH("ProductID",INDEX(tblTrans[ProductID],490)))),"",INDEX(tblTrans[Date],490)),"")</f>
        <v/>
      </c>
      <c r="B491" t="str">
        <f>IFERROR(IF(OR(INDEX(tblTrans[ProductID],490)="",ISNUMBER(SEARCH("ProductID",INDEX(tblTrans[ProductID],490)))),"",INDEX(tblTrans[ProductID],490)),"")</f>
        <v/>
      </c>
      <c r="C491" t="str">
        <f>IFERROR(IF(OR(INDEX(tblTrans[ProductID],490)="",ISNUMBER(SEARCH("ProductID",INDEX(tblTrans[ProductID],490)))),"",INDEX(tblTrans[Location],490)),"")</f>
        <v/>
      </c>
      <c r="D491" t="str">
        <f>IFERROR(IF(OR(INDEX(tblTrans[ProductID],490)="",ISNUMBER(SEARCH("ProductID",INDEX(tblTrans[ProductID],490)))),"",INDEX(tblTrans[Quantity],490)),"")</f>
        <v/>
      </c>
      <c r="E491" t="str">
        <f>IFERROR(IF(OR(INDEX(tblTrans[ProductID],490)="",ISNUMBER(SEARCH("ProductID",INDEX(tblTrans[ProductID],490)))),"",INDEX(tblTrans[Type],490)),"")</f>
        <v/>
      </c>
      <c r="F491" t="str">
        <f>IFERROR(IF(OR(INDEX(tblTrans[ProductID],490)="",ISNUMBER(SEARCH("ProductID",INDEX(tblTrans[ProductID],490)))),"",_xlfn.XLOOKUP(B491,tblProducts[ProductID],tblProducts[ProductName],"")),"")</f>
        <v/>
      </c>
      <c r="G491" t="str">
        <f>IFERROR(IF(OR(INDEX(tblTrans[ProductID],490)="",ISNUMBER(SEARCH("ProductID",INDEX(tblTrans[ProductID],490)))),"",_xlfn.XLOOKUP(B491,tblProducts[ProductID],tblProducts[Category],"")),"")</f>
        <v/>
      </c>
      <c r="H491" t="str">
        <f>IFERROR(IF(OR(INDEX(tblTrans[ProductID],490)="",ISNUMBER(SEARCH("ProductID",INDEX(tblTrans[ProductID],490)))),"",_xlfn.XLOOKUP(B491,tblProducts[ProductID],tblProducts[Supplier],"")),"")</f>
        <v/>
      </c>
      <c r="I491" t="str">
        <f>IFERROR(IF(OR(INDEX(tblTrans[ProductID],490)="",ISNUMBER(SEARCH("ProductID",INDEX(tblTrans[ProductID],490)))),"",D491*_xlfn.XLOOKUP(B491,tblProducts[ProductID],tblProducts[UnitCost],0)),"")</f>
        <v/>
      </c>
    </row>
    <row r="492" spans="1:9" x14ac:dyDescent="0.3">
      <c r="A492" s="5" t="str">
        <f>IFERROR(IF(OR(INDEX(tblTrans[ProductID],491)="",ISNUMBER(SEARCH("ProductID",INDEX(tblTrans[ProductID],491)))),"",INDEX(tblTrans[Date],491)),"")</f>
        <v/>
      </c>
      <c r="B492" t="str">
        <f>IFERROR(IF(OR(INDEX(tblTrans[ProductID],491)="",ISNUMBER(SEARCH("ProductID",INDEX(tblTrans[ProductID],491)))),"",INDEX(tblTrans[ProductID],491)),"")</f>
        <v/>
      </c>
      <c r="C492" t="str">
        <f>IFERROR(IF(OR(INDEX(tblTrans[ProductID],491)="",ISNUMBER(SEARCH("ProductID",INDEX(tblTrans[ProductID],491)))),"",INDEX(tblTrans[Location],491)),"")</f>
        <v/>
      </c>
      <c r="D492" t="str">
        <f>IFERROR(IF(OR(INDEX(tblTrans[ProductID],491)="",ISNUMBER(SEARCH("ProductID",INDEX(tblTrans[ProductID],491)))),"",INDEX(tblTrans[Quantity],491)),"")</f>
        <v/>
      </c>
      <c r="E492" t="str">
        <f>IFERROR(IF(OR(INDEX(tblTrans[ProductID],491)="",ISNUMBER(SEARCH("ProductID",INDEX(tblTrans[ProductID],491)))),"",INDEX(tblTrans[Type],491)),"")</f>
        <v/>
      </c>
      <c r="F492" t="str">
        <f>IFERROR(IF(OR(INDEX(tblTrans[ProductID],491)="",ISNUMBER(SEARCH("ProductID",INDEX(tblTrans[ProductID],491)))),"",_xlfn.XLOOKUP(B492,tblProducts[ProductID],tblProducts[ProductName],"")),"")</f>
        <v/>
      </c>
      <c r="G492" t="str">
        <f>IFERROR(IF(OR(INDEX(tblTrans[ProductID],491)="",ISNUMBER(SEARCH("ProductID",INDEX(tblTrans[ProductID],491)))),"",_xlfn.XLOOKUP(B492,tblProducts[ProductID],tblProducts[Category],"")),"")</f>
        <v/>
      </c>
      <c r="H492" t="str">
        <f>IFERROR(IF(OR(INDEX(tblTrans[ProductID],491)="",ISNUMBER(SEARCH("ProductID",INDEX(tblTrans[ProductID],491)))),"",_xlfn.XLOOKUP(B492,tblProducts[ProductID],tblProducts[Supplier],"")),"")</f>
        <v/>
      </c>
      <c r="I492" t="str">
        <f>IFERROR(IF(OR(INDEX(tblTrans[ProductID],491)="",ISNUMBER(SEARCH("ProductID",INDEX(tblTrans[ProductID],491)))),"",D492*_xlfn.XLOOKUP(B492,tblProducts[ProductID],tblProducts[UnitCost],0)),"")</f>
        <v/>
      </c>
    </row>
    <row r="493" spans="1:9" x14ac:dyDescent="0.3">
      <c r="A493" s="5" t="str">
        <f>IFERROR(IF(OR(INDEX(tblTrans[ProductID],492)="",ISNUMBER(SEARCH("ProductID",INDEX(tblTrans[ProductID],492)))),"",INDEX(tblTrans[Date],492)),"")</f>
        <v/>
      </c>
      <c r="B493" t="str">
        <f>IFERROR(IF(OR(INDEX(tblTrans[ProductID],492)="",ISNUMBER(SEARCH("ProductID",INDEX(tblTrans[ProductID],492)))),"",INDEX(tblTrans[ProductID],492)),"")</f>
        <v/>
      </c>
      <c r="C493" t="str">
        <f>IFERROR(IF(OR(INDEX(tblTrans[ProductID],492)="",ISNUMBER(SEARCH("ProductID",INDEX(tblTrans[ProductID],492)))),"",INDEX(tblTrans[Location],492)),"")</f>
        <v/>
      </c>
      <c r="D493" t="str">
        <f>IFERROR(IF(OR(INDEX(tblTrans[ProductID],492)="",ISNUMBER(SEARCH("ProductID",INDEX(tblTrans[ProductID],492)))),"",INDEX(tblTrans[Quantity],492)),"")</f>
        <v/>
      </c>
      <c r="E493" t="str">
        <f>IFERROR(IF(OR(INDEX(tblTrans[ProductID],492)="",ISNUMBER(SEARCH("ProductID",INDEX(tblTrans[ProductID],492)))),"",INDEX(tblTrans[Type],492)),"")</f>
        <v/>
      </c>
      <c r="F493" t="str">
        <f>IFERROR(IF(OR(INDEX(tblTrans[ProductID],492)="",ISNUMBER(SEARCH("ProductID",INDEX(tblTrans[ProductID],492)))),"",_xlfn.XLOOKUP(B493,tblProducts[ProductID],tblProducts[ProductName],"")),"")</f>
        <v/>
      </c>
      <c r="G493" t="str">
        <f>IFERROR(IF(OR(INDEX(tblTrans[ProductID],492)="",ISNUMBER(SEARCH("ProductID",INDEX(tblTrans[ProductID],492)))),"",_xlfn.XLOOKUP(B493,tblProducts[ProductID],tblProducts[Category],"")),"")</f>
        <v/>
      </c>
      <c r="H493" t="str">
        <f>IFERROR(IF(OR(INDEX(tblTrans[ProductID],492)="",ISNUMBER(SEARCH("ProductID",INDEX(tblTrans[ProductID],492)))),"",_xlfn.XLOOKUP(B493,tblProducts[ProductID],tblProducts[Supplier],"")),"")</f>
        <v/>
      </c>
      <c r="I493" t="str">
        <f>IFERROR(IF(OR(INDEX(tblTrans[ProductID],492)="",ISNUMBER(SEARCH("ProductID",INDEX(tblTrans[ProductID],492)))),"",D493*_xlfn.XLOOKUP(B493,tblProducts[ProductID],tblProducts[UnitCost],0)),"")</f>
        <v/>
      </c>
    </row>
    <row r="494" spans="1:9" x14ac:dyDescent="0.3">
      <c r="A494" s="5" t="str">
        <f>IFERROR(IF(OR(INDEX(tblTrans[ProductID],493)="",ISNUMBER(SEARCH("ProductID",INDEX(tblTrans[ProductID],493)))),"",INDEX(tblTrans[Date],493)),"")</f>
        <v/>
      </c>
      <c r="B494" t="str">
        <f>IFERROR(IF(OR(INDEX(tblTrans[ProductID],493)="",ISNUMBER(SEARCH("ProductID",INDEX(tblTrans[ProductID],493)))),"",INDEX(tblTrans[ProductID],493)),"")</f>
        <v/>
      </c>
      <c r="C494" t="str">
        <f>IFERROR(IF(OR(INDEX(tblTrans[ProductID],493)="",ISNUMBER(SEARCH("ProductID",INDEX(tblTrans[ProductID],493)))),"",INDEX(tblTrans[Location],493)),"")</f>
        <v/>
      </c>
      <c r="D494" t="str">
        <f>IFERROR(IF(OR(INDEX(tblTrans[ProductID],493)="",ISNUMBER(SEARCH("ProductID",INDEX(tblTrans[ProductID],493)))),"",INDEX(tblTrans[Quantity],493)),"")</f>
        <v/>
      </c>
      <c r="E494" t="str">
        <f>IFERROR(IF(OR(INDEX(tblTrans[ProductID],493)="",ISNUMBER(SEARCH("ProductID",INDEX(tblTrans[ProductID],493)))),"",INDEX(tblTrans[Type],493)),"")</f>
        <v/>
      </c>
      <c r="F494" t="str">
        <f>IFERROR(IF(OR(INDEX(tblTrans[ProductID],493)="",ISNUMBER(SEARCH("ProductID",INDEX(tblTrans[ProductID],493)))),"",_xlfn.XLOOKUP(B494,tblProducts[ProductID],tblProducts[ProductName],"")),"")</f>
        <v/>
      </c>
      <c r="G494" t="str">
        <f>IFERROR(IF(OR(INDEX(tblTrans[ProductID],493)="",ISNUMBER(SEARCH("ProductID",INDEX(tblTrans[ProductID],493)))),"",_xlfn.XLOOKUP(B494,tblProducts[ProductID],tblProducts[Category],"")),"")</f>
        <v/>
      </c>
      <c r="H494" t="str">
        <f>IFERROR(IF(OR(INDEX(tblTrans[ProductID],493)="",ISNUMBER(SEARCH("ProductID",INDEX(tblTrans[ProductID],493)))),"",_xlfn.XLOOKUP(B494,tblProducts[ProductID],tblProducts[Supplier],"")),"")</f>
        <v/>
      </c>
      <c r="I494" t="str">
        <f>IFERROR(IF(OR(INDEX(tblTrans[ProductID],493)="",ISNUMBER(SEARCH("ProductID",INDEX(tblTrans[ProductID],493)))),"",D494*_xlfn.XLOOKUP(B494,tblProducts[ProductID],tblProducts[UnitCost],0)),"")</f>
        <v/>
      </c>
    </row>
    <row r="495" spans="1:9" x14ac:dyDescent="0.3">
      <c r="A495" s="5" t="str">
        <f>IFERROR(IF(OR(INDEX(tblTrans[ProductID],494)="",ISNUMBER(SEARCH("ProductID",INDEX(tblTrans[ProductID],494)))),"",INDEX(tblTrans[Date],494)),"")</f>
        <v/>
      </c>
      <c r="B495" t="str">
        <f>IFERROR(IF(OR(INDEX(tblTrans[ProductID],494)="",ISNUMBER(SEARCH("ProductID",INDEX(tblTrans[ProductID],494)))),"",INDEX(tblTrans[ProductID],494)),"")</f>
        <v/>
      </c>
      <c r="C495" t="str">
        <f>IFERROR(IF(OR(INDEX(tblTrans[ProductID],494)="",ISNUMBER(SEARCH("ProductID",INDEX(tblTrans[ProductID],494)))),"",INDEX(tblTrans[Location],494)),"")</f>
        <v/>
      </c>
      <c r="D495" t="str">
        <f>IFERROR(IF(OR(INDEX(tblTrans[ProductID],494)="",ISNUMBER(SEARCH("ProductID",INDEX(tblTrans[ProductID],494)))),"",INDEX(tblTrans[Quantity],494)),"")</f>
        <v/>
      </c>
      <c r="E495" t="str">
        <f>IFERROR(IF(OR(INDEX(tblTrans[ProductID],494)="",ISNUMBER(SEARCH("ProductID",INDEX(tblTrans[ProductID],494)))),"",INDEX(tblTrans[Type],494)),"")</f>
        <v/>
      </c>
      <c r="F495" t="str">
        <f>IFERROR(IF(OR(INDEX(tblTrans[ProductID],494)="",ISNUMBER(SEARCH("ProductID",INDEX(tblTrans[ProductID],494)))),"",_xlfn.XLOOKUP(B495,tblProducts[ProductID],tblProducts[ProductName],"")),"")</f>
        <v/>
      </c>
      <c r="G495" t="str">
        <f>IFERROR(IF(OR(INDEX(tblTrans[ProductID],494)="",ISNUMBER(SEARCH("ProductID",INDEX(tblTrans[ProductID],494)))),"",_xlfn.XLOOKUP(B495,tblProducts[ProductID],tblProducts[Category],"")),"")</f>
        <v/>
      </c>
      <c r="H495" t="str">
        <f>IFERROR(IF(OR(INDEX(tblTrans[ProductID],494)="",ISNUMBER(SEARCH("ProductID",INDEX(tblTrans[ProductID],494)))),"",_xlfn.XLOOKUP(B495,tblProducts[ProductID],tblProducts[Supplier],"")),"")</f>
        <v/>
      </c>
      <c r="I495" t="str">
        <f>IFERROR(IF(OR(INDEX(tblTrans[ProductID],494)="",ISNUMBER(SEARCH("ProductID",INDEX(tblTrans[ProductID],494)))),"",D495*_xlfn.XLOOKUP(B495,tblProducts[ProductID],tblProducts[UnitCost],0)),"")</f>
        <v/>
      </c>
    </row>
    <row r="496" spans="1:9" x14ac:dyDescent="0.3">
      <c r="A496" s="5" t="str">
        <f>IFERROR(IF(OR(INDEX(tblTrans[ProductID],495)="",ISNUMBER(SEARCH("ProductID",INDEX(tblTrans[ProductID],495)))),"",INDEX(tblTrans[Date],495)),"")</f>
        <v/>
      </c>
      <c r="B496" t="str">
        <f>IFERROR(IF(OR(INDEX(tblTrans[ProductID],495)="",ISNUMBER(SEARCH("ProductID",INDEX(tblTrans[ProductID],495)))),"",INDEX(tblTrans[ProductID],495)),"")</f>
        <v/>
      </c>
      <c r="C496" t="str">
        <f>IFERROR(IF(OR(INDEX(tblTrans[ProductID],495)="",ISNUMBER(SEARCH("ProductID",INDEX(tblTrans[ProductID],495)))),"",INDEX(tblTrans[Location],495)),"")</f>
        <v/>
      </c>
      <c r="D496" t="str">
        <f>IFERROR(IF(OR(INDEX(tblTrans[ProductID],495)="",ISNUMBER(SEARCH("ProductID",INDEX(tblTrans[ProductID],495)))),"",INDEX(tblTrans[Quantity],495)),"")</f>
        <v/>
      </c>
      <c r="E496" t="str">
        <f>IFERROR(IF(OR(INDEX(tblTrans[ProductID],495)="",ISNUMBER(SEARCH("ProductID",INDEX(tblTrans[ProductID],495)))),"",INDEX(tblTrans[Type],495)),"")</f>
        <v/>
      </c>
      <c r="F496" t="str">
        <f>IFERROR(IF(OR(INDEX(tblTrans[ProductID],495)="",ISNUMBER(SEARCH("ProductID",INDEX(tblTrans[ProductID],495)))),"",_xlfn.XLOOKUP(B496,tblProducts[ProductID],tblProducts[ProductName],"")),"")</f>
        <v/>
      </c>
      <c r="G496" t="str">
        <f>IFERROR(IF(OR(INDEX(tblTrans[ProductID],495)="",ISNUMBER(SEARCH("ProductID",INDEX(tblTrans[ProductID],495)))),"",_xlfn.XLOOKUP(B496,tblProducts[ProductID],tblProducts[Category],"")),"")</f>
        <v/>
      </c>
      <c r="H496" t="str">
        <f>IFERROR(IF(OR(INDEX(tblTrans[ProductID],495)="",ISNUMBER(SEARCH("ProductID",INDEX(tblTrans[ProductID],495)))),"",_xlfn.XLOOKUP(B496,tblProducts[ProductID],tblProducts[Supplier],"")),"")</f>
        <v/>
      </c>
      <c r="I496" t="str">
        <f>IFERROR(IF(OR(INDEX(tblTrans[ProductID],495)="",ISNUMBER(SEARCH("ProductID",INDEX(tblTrans[ProductID],495)))),"",D496*_xlfn.XLOOKUP(B496,tblProducts[ProductID],tblProducts[UnitCost],0)),"")</f>
        <v/>
      </c>
    </row>
    <row r="497" spans="1:9" x14ac:dyDescent="0.3">
      <c r="A497" s="5" t="str">
        <f>IFERROR(IF(OR(INDEX(tblTrans[ProductID],496)="",ISNUMBER(SEARCH("ProductID",INDEX(tblTrans[ProductID],496)))),"",INDEX(tblTrans[Date],496)),"")</f>
        <v/>
      </c>
      <c r="B497" t="str">
        <f>IFERROR(IF(OR(INDEX(tblTrans[ProductID],496)="",ISNUMBER(SEARCH("ProductID",INDEX(tblTrans[ProductID],496)))),"",INDEX(tblTrans[ProductID],496)),"")</f>
        <v/>
      </c>
      <c r="C497" t="str">
        <f>IFERROR(IF(OR(INDEX(tblTrans[ProductID],496)="",ISNUMBER(SEARCH("ProductID",INDEX(tblTrans[ProductID],496)))),"",INDEX(tblTrans[Location],496)),"")</f>
        <v/>
      </c>
      <c r="D497" t="str">
        <f>IFERROR(IF(OR(INDEX(tblTrans[ProductID],496)="",ISNUMBER(SEARCH("ProductID",INDEX(tblTrans[ProductID],496)))),"",INDEX(tblTrans[Quantity],496)),"")</f>
        <v/>
      </c>
      <c r="E497" t="str">
        <f>IFERROR(IF(OR(INDEX(tblTrans[ProductID],496)="",ISNUMBER(SEARCH("ProductID",INDEX(tblTrans[ProductID],496)))),"",INDEX(tblTrans[Type],496)),"")</f>
        <v/>
      </c>
      <c r="F497" t="str">
        <f>IFERROR(IF(OR(INDEX(tblTrans[ProductID],496)="",ISNUMBER(SEARCH("ProductID",INDEX(tblTrans[ProductID],496)))),"",_xlfn.XLOOKUP(B497,tblProducts[ProductID],tblProducts[ProductName],"")),"")</f>
        <v/>
      </c>
      <c r="G497" t="str">
        <f>IFERROR(IF(OR(INDEX(tblTrans[ProductID],496)="",ISNUMBER(SEARCH("ProductID",INDEX(tblTrans[ProductID],496)))),"",_xlfn.XLOOKUP(B497,tblProducts[ProductID],tblProducts[Category],"")),"")</f>
        <v/>
      </c>
      <c r="H497" t="str">
        <f>IFERROR(IF(OR(INDEX(tblTrans[ProductID],496)="",ISNUMBER(SEARCH("ProductID",INDEX(tblTrans[ProductID],496)))),"",_xlfn.XLOOKUP(B497,tblProducts[ProductID],tblProducts[Supplier],"")),"")</f>
        <v/>
      </c>
      <c r="I497" t="str">
        <f>IFERROR(IF(OR(INDEX(tblTrans[ProductID],496)="",ISNUMBER(SEARCH("ProductID",INDEX(tblTrans[ProductID],496)))),"",D497*_xlfn.XLOOKUP(B497,tblProducts[ProductID],tblProducts[UnitCost],0)),"")</f>
        <v/>
      </c>
    </row>
    <row r="498" spans="1:9" x14ac:dyDescent="0.3">
      <c r="A498" s="5" t="str">
        <f>IFERROR(IF(OR(INDEX(tblTrans[ProductID],497)="",ISNUMBER(SEARCH("ProductID",INDEX(tblTrans[ProductID],497)))),"",INDEX(tblTrans[Date],497)),"")</f>
        <v/>
      </c>
      <c r="B498" t="str">
        <f>IFERROR(IF(OR(INDEX(tblTrans[ProductID],497)="",ISNUMBER(SEARCH("ProductID",INDEX(tblTrans[ProductID],497)))),"",INDEX(tblTrans[ProductID],497)),"")</f>
        <v/>
      </c>
      <c r="C498" t="str">
        <f>IFERROR(IF(OR(INDEX(tblTrans[ProductID],497)="",ISNUMBER(SEARCH("ProductID",INDEX(tblTrans[ProductID],497)))),"",INDEX(tblTrans[Location],497)),"")</f>
        <v/>
      </c>
      <c r="D498" t="str">
        <f>IFERROR(IF(OR(INDEX(tblTrans[ProductID],497)="",ISNUMBER(SEARCH("ProductID",INDEX(tblTrans[ProductID],497)))),"",INDEX(tblTrans[Quantity],497)),"")</f>
        <v/>
      </c>
      <c r="E498" t="str">
        <f>IFERROR(IF(OR(INDEX(tblTrans[ProductID],497)="",ISNUMBER(SEARCH("ProductID",INDEX(tblTrans[ProductID],497)))),"",INDEX(tblTrans[Type],497)),"")</f>
        <v/>
      </c>
      <c r="F498" t="str">
        <f>IFERROR(IF(OR(INDEX(tblTrans[ProductID],497)="",ISNUMBER(SEARCH("ProductID",INDEX(tblTrans[ProductID],497)))),"",_xlfn.XLOOKUP(B498,tblProducts[ProductID],tblProducts[ProductName],"")),"")</f>
        <v/>
      </c>
      <c r="G498" t="str">
        <f>IFERROR(IF(OR(INDEX(tblTrans[ProductID],497)="",ISNUMBER(SEARCH("ProductID",INDEX(tblTrans[ProductID],497)))),"",_xlfn.XLOOKUP(B498,tblProducts[ProductID],tblProducts[Category],"")),"")</f>
        <v/>
      </c>
      <c r="H498" t="str">
        <f>IFERROR(IF(OR(INDEX(tblTrans[ProductID],497)="",ISNUMBER(SEARCH("ProductID",INDEX(tblTrans[ProductID],497)))),"",_xlfn.XLOOKUP(B498,tblProducts[ProductID],tblProducts[Supplier],"")),"")</f>
        <v/>
      </c>
      <c r="I498" t="str">
        <f>IFERROR(IF(OR(INDEX(tblTrans[ProductID],497)="",ISNUMBER(SEARCH("ProductID",INDEX(tblTrans[ProductID],497)))),"",D498*_xlfn.XLOOKUP(B498,tblProducts[ProductID],tblProducts[UnitCost],0)),"")</f>
        <v/>
      </c>
    </row>
    <row r="499" spans="1:9" x14ac:dyDescent="0.3">
      <c r="A499" s="5" t="str">
        <f>IFERROR(IF(OR(INDEX(tblTrans[ProductID],498)="",ISNUMBER(SEARCH("ProductID",INDEX(tblTrans[ProductID],498)))),"",INDEX(tblTrans[Date],498)),"")</f>
        <v/>
      </c>
      <c r="B499" t="str">
        <f>IFERROR(IF(OR(INDEX(tblTrans[ProductID],498)="",ISNUMBER(SEARCH("ProductID",INDEX(tblTrans[ProductID],498)))),"",INDEX(tblTrans[ProductID],498)),"")</f>
        <v/>
      </c>
      <c r="C499" t="str">
        <f>IFERROR(IF(OR(INDEX(tblTrans[ProductID],498)="",ISNUMBER(SEARCH("ProductID",INDEX(tblTrans[ProductID],498)))),"",INDEX(tblTrans[Location],498)),"")</f>
        <v/>
      </c>
      <c r="D499" t="str">
        <f>IFERROR(IF(OR(INDEX(tblTrans[ProductID],498)="",ISNUMBER(SEARCH("ProductID",INDEX(tblTrans[ProductID],498)))),"",INDEX(tblTrans[Quantity],498)),"")</f>
        <v/>
      </c>
      <c r="E499" t="str">
        <f>IFERROR(IF(OR(INDEX(tblTrans[ProductID],498)="",ISNUMBER(SEARCH("ProductID",INDEX(tblTrans[ProductID],498)))),"",INDEX(tblTrans[Type],498)),"")</f>
        <v/>
      </c>
      <c r="F499" t="str">
        <f>IFERROR(IF(OR(INDEX(tblTrans[ProductID],498)="",ISNUMBER(SEARCH("ProductID",INDEX(tblTrans[ProductID],498)))),"",_xlfn.XLOOKUP(B499,tblProducts[ProductID],tblProducts[ProductName],"")),"")</f>
        <v/>
      </c>
      <c r="G499" t="str">
        <f>IFERROR(IF(OR(INDEX(tblTrans[ProductID],498)="",ISNUMBER(SEARCH("ProductID",INDEX(tblTrans[ProductID],498)))),"",_xlfn.XLOOKUP(B499,tblProducts[ProductID],tblProducts[Category],"")),"")</f>
        <v/>
      </c>
      <c r="H499" t="str">
        <f>IFERROR(IF(OR(INDEX(tblTrans[ProductID],498)="",ISNUMBER(SEARCH("ProductID",INDEX(tblTrans[ProductID],498)))),"",_xlfn.XLOOKUP(B499,tblProducts[ProductID],tblProducts[Supplier],"")),"")</f>
        <v/>
      </c>
      <c r="I499" t="str">
        <f>IFERROR(IF(OR(INDEX(tblTrans[ProductID],498)="",ISNUMBER(SEARCH("ProductID",INDEX(tblTrans[ProductID],498)))),"",D499*_xlfn.XLOOKUP(B499,tblProducts[ProductID],tblProducts[UnitCost],0)),"")</f>
        <v/>
      </c>
    </row>
    <row r="500" spans="1:9" x14ac:dyDescent="0.3">
      <c r="A500" s="5" t="str">
        <f>IFERROR(IF(OR(INDEX(tblTrans[ProductID],499)="",ISNUMBER(SEARCH("ProductID",INDEX(tblTrans[ProductID],499)))),"",INDEX(tblTrans[Date],499)),"")</f>
        <v/>
      </c>
      <c r="B500" t="str">
        <f>IFERROR(IF(OR(INDEX(tblTrans[ProductID],499)="",ISNUMBER(SEARCH("ProductID",INDEX(tblTrans[ProductID],499)))),"",INDEX(tblTrans[ProductID],499)),"")</f>
        <v/>
      </c>
      <c r="C500" t="str">
        <f>IFERROR(IF(OR(INDEX(tblTrans[ProductID],499)="",ISNUMBER(SEARCH("ProductID",INDEX(tblTrans[ProductID],499)))),"",INDEX(tblTrans[Location],499)),"")</f>
        <v/>
      </c>
      <c r="D500" t="str">
        <f>IFERROR(IF(OR(INDEX(tblTrans[ProductID],499)="",ISNUMBER(SEARCH("ProductID",INDEX(tblTrans[ProductID],499)))),"",INDEX(tblTrans[Quantity],499)),"")</f>
        <v/>
      </c>
      <c r="E500" t="str">
        <f>IFERROR(IF(OR(INDEX(tblTrans[ProductID],499)="",ISNUMBER(SEARCH("ProductID",INDEX(tblTrans[ProductID],499)))),"",INDEX(tblTrans[Type],499)),"")</f>
        <v/>
      </c>
      <c r="F500" t="str">
        <f>IFERROR(IF(OR(INDEX(tblTrans[ProductID],499)="",ISNUMBER(SEARCH("ProductID",INDEX(tblTrans[ProductID],499)))),"",_xlfn.XLOOKUP(B500,tblProducts[ProductID],tblProducts[ProductName],"")),"")</f>
        <v/>
      </c>
      <c r="G500" t="str">
        <f>IFERROR(IF(OR(INDEX(tblTrans[ProductID],499)="",ISNUMBER(SEARCH("ProductID",INDEX(tblTrans[ProductID],499)))),"",_xlfn.XLOOKUP(B500,tblProducts[ProductID],tblProducts[Category],"")),"")</f>
        <v/>
      </c>
      <c r="H500" t="str">
        <f>IFERROR(IF(OR(INDEX(tblTrans[ProductID],499)="",ISNUMBER(SEARCH("ProductID",INDEX(tblTrans[ProductID],499)))),"",_xlfn.XLOOKUP(B500,tblProducts[ProductID],tblProducts[Supplier],"")),"")</f>
        <v/>
      </c>
      <c r="I500" t="str">
        <f>IFERROR(IF(OR(INDEX(tblTrans[ProductID],499)="",ISNUMBER(SEARCH("ProductID",INDEX(tblTrans[ProductID],499)))),"",D500*_xlfn.XLOOKUP(B500,tblProducts[ProductID],tblProducts[UnitCost],0)),"")</f>
        <v/>
      </c>
    </row>
    <row r="501" spans="1:9" x14ac:dyDescent="0.3">
      <c r="A501" s="5" t="str">
        <f>IFERROR(IF(OR(INDEX(tblTrans[ProductID],500)="",ISNUMBER(SEARCH("ProductID",INDEX(tblTrans[ProductID],500)))),"",INDEX(tblTrans[Date],500)),"")</f>
        <v/>
      </c>
      <c r="B501" t="str">
        <f>IFERROR(IF(OR(INDEX(tblTrans[ProductID],500)="",ISNUMBER(SEARCH("ProductID",INDEX(tblTrans[ProductID],500)))),"",INDEX(tblTrans[ProductID],500)),"")</f>
        <v/>
      </c>
      <c r="C501" t="str">
        <f>IFERROR(IF(OR(INDEX(tblTrans[ProductID],500)="",ISNUMBER(SEARCH("ProductID",INDEX(tblTrans[ProductID],500)))),"",INDEX(tblTrans[Location],500)),"")</f>
        <v/>
      </c>
      <c r="D501" t="str">
        <f>IFERROR(IF(OR(INDEX(tblTrans[ProductID],500)="",ISNUMBER(SEARCH("ProductID",INDEX(tblTrans[ProductID],500)))),"",INDEX(tblTrans[Quantity],500)),"")</f>
        <v/>
      </c>
      <c r="E501" t="str">
        <f>IFERROR(IF(OR(INDEX(tblTrans[ProductID],500)="",ISNUMBER(SEARCH("ProductID",INDEX(tblTrans[ProductID],500)))),"",INDEX(tblTrans[Type],500)),"")</f>
        <v/>
      </c>
      <c r="F501" t="str">
        <f>IFERROR(IF(OR(INDEX(tblTrans[ProductID],500)="",ISNUMBER(SEARCH("ProductID",INDEX(tblTrans[ProductID],500)))),"",_xlfn.XLOOKUP(B501,tblProducts[ProductID],tblProducts[ProductName],"")),"")</f>
        <v/>
      </c>
      <c r="G501" t="str">
        <f>IFERROR(IF(OR(INDEX(tblTrans[ProductID],500)="",ISNUMBER(SEARCH("ProductID",INDEX(tblTrans[ProductID],500)))),"",_xlfn.XLOOKUP(B501,tblProducts[ProductID],tblProducts[Category],"")),"")</f>
        <v/>
      </c>
      <c r="H501" t="str">
        <f>IFERROR(IF(OR(INDEX(tblTrans[ProductID],500)="",ISNUMBER(SEARCH("ProductID",INDEX(tblTrans[ProductID],500)))),"",_xlfn.XLOOKUP(B501,tblProducts[ProductID],tblProducts[Supplier],"")),"")</f>
        <v/>
      </c>
      <c r="I501" t="str">
        <f>IFERROR(IF(OR(INDEX(tblTrans[ProductID],500)="",ISNUMBER(SEARCH("ProductID",INDEX(tblTrans[ProductID],500)))),"",D501*_xlfn.XLOOKUP(B501,tblProducts[ProductID],tblProducts[UnitCost],0)),"")</f>
        <v/>
      </c>
    </row>
  </sheetData>
  <sheetProtection sort="0" autoFilter="0" pivotTables="0"/>
  <pageMargins left="0.7" right="0.7" top="0.75" bottom="0.75" header="0.3" footer="0.3"/>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Dashboard</vt:lpstr>
      <vt:lpstr>Products</vt:lpstr>
      <vt:lpstr>Transactions</vt:lpstr>
      <vt:lpstr>Inventory</vt:lpstr>
      <vt:lpstr>Reorder Report</vt:lpstr>
      <vt:lpstr>Instructions</vt:lpstr>
      <vt:lpstr>lstCategories</vt:lpstr>
      <vt:lpstr>lstLocations</vt:lpstr>
      <vt:lpstr>lstSuppliers</vt:lpstr>
      <vt:lpstr>lstTransTypes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Taghi Heshmati</dc:creator>
  <cp:lastModifiedBy>Taghi Heshmati</cp:lastModifiedBy>
  <dcterms:created xsi:type="dcterms:W3CDTF">2026-06-26T19:13:36Z</dcterms:created>
  <dcterms:modified xsi:type="dcterms:W3CDTF">2026-07-07T15:27:32Z</dcterms:modified>
</cp:coreProperties>
</file>